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85" yWindow="65476" windowWidth="10410" windowHeight="11460" activeTab="0"/>
  </bookViews>
  <sheets>
    <sheet name="Eingabe" sheetId="1" r:id="rId1"/>
    <sheet name="Nachweis" sheetId="2" r:id="rId2"/>
    <sheet name="Passfeder" sheetId="3" r:id="rId3"/>
    <sheet name="Stift" sheetId="4" r:id="rId4"/>
    <sheet name="Lager" sheetId="5" r:id="rId5"/>
    <sheet name="Daten" sheetId="6" r:id="rId6"/>
    <sheet name="Werkst" sheetId="7" r:id="rId7"/>
  </sheets>
  <definedNames/>
  <calcPr fullCalcOnLoad="1"/>
</workbook>
</file>

<file path=xl/comments1.xml><?xml version="1.0" encoding="utf-8"?>
<comments xmlns="http://schemas.openxmlformats.org/spreadsheetml/2006/main">
  <authors>
    <author>TravelMate 291LCi</author>
  </authors>
  <commentList>
    <comment ref="B16" authorId="0">
      <text>
        <r>
          <rPr>
            <sz val="10"/>
            <rFont val="Arial"/>
            <family val="2"/>
          </rPr>
          <t>nach DIN 743: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rFont val="GreekC"/>
            <family val="0"/>
          </rPr>
          <t>s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(d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)</t>
        </r>
      </text>
    </comment>
    <comment ref="C16" authorId="0">
      <text>
        <r>
          <rPr>
            <sz val="10"/>
            <rFont val="Arial"/>
            <family val="2"/>
          </rPr>
          <t xml:space="preserve">nach DIN 743:
</t>
        </r>
        <r>
          <rPr>
            <sz val="10"/>
            <rFont val="GreekC"/>
            <family val="0"/>
          </rPr>
          <t>s</t>
        </r>
        <r>
          <rPr>
            <vertAlign val="subscript"/>
            <sz val="10"/>
            <rFont val="Arial"/>
            <family val="2"/>
          </rPr>
          <t>S</t>
        </r>
        <r>
          <rPr>
            <sz val="10"/>
            <rFont val="Arial"/>
            <family val="2"/>
          </rPr>
          <t>(d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)</t>
        </r>
      </text>
    </comment>
  </commentList>
</comments>
</file>

<file path=xl/comments7.xml><?xml version="1.0" encoding="utf-8"?>
<comments xmlns="http://schemas.openxmlformats.org/spreadsheetml/2006/main">
  <authors>
    <author>TravelMate 291LCi</author>
  </authors>
  <commentList>
    <comment ref="A1" authorId="0">
      <text>
        <r>
          <rPr>
            <sz val="10"/>
            <rFont val="Arial"/>
            <family val="2"/>
          </rPr>
          <t>Baustahl (dB = 16mm)</t>
        </r>
      </text>
    </comment>
    <comment ref="A8" authorId="0">
      <text>
        <r>
          <rPr>
            <sz val="10"/>
            <rFont val="Arial"/>
            <family val="2"/>
          </rPr>
          <t>Vergütungsstahl (dB = 16mm)</t>
        </r>
      </text>
    </comment>
    <comment ref="A15" authorId="0">
      <text>
        <r>
          <rPr>
            <sz val="10"/>
            <rFont val="Arial"/>
            <family val="2"/>
          </rPr>
          <t>Einsatzstahl (dB = 11mm)</t>
        </r>
      </text>
    </comment>
    <comment ref="D1" authorId="0">
      <text>
        <r>
          <rPr>
            <sz val="10"/>
            <rFont val="Arial"/>
            <family val="2"/>
          </rPr>
          <t>nach DIN 743:</t>
        </r>
        <r>
          <rPr>
            <b/>
            <sz val="8"/>
            <rFont val="Tahoma"/>
            <family val="0"/>
          </rPr>
          <t xml:space="preserve">
</t>
        </r>
        <r>
          <rPr>
            <sz val="10"/>
            <rFont val="GreekC"/>
            <family val="0"/>
          </rPr>
          <t>s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(d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)</t>
        </r>
      </text>
    </comment>
    <comment ref="E1" authorId="0">
      <text>
        <r>
          <rPr>
            <sz val="10"/>
            <rFont val="Arial"/>
            <family val="2"/>
          </rPr>
          <t xml:space="preserve">nach DIN 743:
</t>
        </r>
        <r>
          <rPr>
            <sz val="10"/>
            <rFont val="GreekC"/>
            <family val="0"/>
          </rPr>
          <t>s</t>
        </r>
        <r>
          <rPr>
            <vertAlign val="subscript"/>
            <sz val="10"/>
            <rFont val="Arial"/>
            <family val="2"/>
          </rPr>
          <t>S</t>
        </r>
        <r>
          <rPr>
            <sz val="10"/>
            <rFont val="Arial"/>
            <family val="2"/>
          </rPr>
          <t>(d</t>
        </r>
        <r>
          <rPr>
            <vertAlign val="subscript"/>
            <sz val="10"/>
            <rFont val="Arial"/>
            <family val="2"/>
          </rPr>
          <t>B</t>
        </r>
        <r>
          <rPr>
            <sz val="10"/>
            <rFont val="Arial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<sst xmlns="http://schemas.openxmlformats.org/spreadsheetml/2006/main" count="286" uniqueCount="218">
  <si>
    <t>EN</t>
  </si>
  <si>
    <t>ISO</t>
  </si>
  <si>
    <t>DIN (alt)</t>
  </si>
  <si>
    <t>A %</t>
  </si>
  <si>
    <t>Kosten</t>
  </si>
  <si>
    <t>S235JR</t>
  </si>
  <si>
    <t>S275JR</t>
  </si>
  <si>
    <t>E295</t>
  </si>
  <si>
    <t>S355JO</t>
  </si>
  <si>
    <t>E335</t>
  </si>
  <si>
    <t>E360</t>
  </si>
  <si>
    <t>C25E</t>
  </si>
  <si>
    <t>C50E</t>
  </si>
  <si>
    <t>28Mn6</t>
  </si>
  <si>
    <t>38Cr2</t>
  </si>
  <si>
    <t>25CrMo4</t>
  </si>
  <si>
    <t>50CrMo4</t>
  </si>
  <si>
    <t>34CrNiMo6</t>
  </si>
  <si>
    <t>C15</t>
  </si>
  <si>
    <t>20Cr4</t>
  </si>
  <si>
    <t>20MnCr5</t>
  </si>
  <si>
    <t>17CrNiMo6</t>
  </si>
  <si>
    <t>1.0037</t>
  </si>
  <si>
    <t>1.0044</t>
  </si>
  <si>
    <t>1.0050</t>
  </si>
  <si>
    <t>1.0553</t>
  </si>
  <si>
    <t>1.0060</t>
  </si>
  <si>
    <t>1.0070</t>
  </si>
  <si>
    <t>1.1158</t>
  </si>
  <si>
    <t>1.1206</t>
  </si>
  <si>
    <t>1.1170</t>
  </si>
  <si>
    <t>1.7003</t>
  </si>
  <si>
    <t>1.7218</t>
  </si>
  <si>
    <t>1.7228</t>
  </si>
  <si>
    <t>1.6582</t>
  </si>
  <si>
    <t>1.0401</t>
  </si>
  <si>
    <t>1.7027</t>
  </si>
  <si>
    <t>1.7147</t>
  </si>
  <si>
    <t>1.6587</t>
  </si>
  <si>
    <t>St 37-2</t>
  </si>
  <si>
    <t>St 44-2</t>
  </si>
  <si>
    <t>St 50-2</t>
  </si>
  <si>
    <t>St 53-3</t>
  </si>
  <si>
    <t>St 60-2</t>
  </si>
  <si>
    <t>St 70-2</t>
  </si>
  <si>
    <t>C25</t>
  </si>
  <si>
    <t>C50</t>
  </si>
  <si>
    <r>
      <t>Alle Angaben in N/mm</t>
    </r>
    <r>
      <rPr>
        <vertAlign val="superscript"/>
        <sz val="10"/>
        <rFont val="Arial"/>
        <family val="2"/>
      </rPr>
      <t>2</t>
    </r>
  </si>
  <si>
    <t>Eingabe EN</t>
  </si>
  <si>
    <t>Index</t>
  </si>
  <si>
    <t>7,5&lt;=d&lt;=32</t>
  </si>
  <si>
    <t>32&lt;d&lt;300</t>
  </si>
  <si>
    <t>d&gt;=300</t>
  </si>
  <si>
    <t>7,5&lt;=d&lt;=16</t>
  </si>
  <si>
    <t>16&lt;d&lt;300</t>
  </si>
  <si>
    <t>7,5&lt;=d&lt;=11</t>
  </si>
  <si>
    <t>11&lt;d&lt;300</t>
  </si>
  <si>
    <t>7,5&lt;=d&lt;=150</t>
  </si>
  <si>
    <t>d&gt;=150</t>
  </si>
  <si>
    <t>Biegung,
Torsion</t>
  </si>
  <si>
    <t>n [U/min]</t>
  </si>
  <si>
    <t>Sichfakt</t>
  </si>
  <si>
    <t>Stützkräfte   [N]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</si>
  <si>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[°]</t>
    </r>
  </si>
  <si>
    <r>
      <t>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[°]</t>
    </r>
  </si>
  <si>
    <r>
      <t>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[mm]</t>
    </r>
  </si>
  <si>
    <r>
      <t>Fu</t>
    </r>
    <r>
      <rPr>
        <sz val="10"/>
        <rFont val="Arial"/>
        <family val="2"/>
      </rPr>
      <t xml:space="preserve"> [N]</t>
    </r>
  </si>
  <si>
    <r>
      <t>L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[mm]</t>
    </r>
  </si>
  <si>
    <r>
      <t>Fr</t>
    </r>
    <r>
      <rPr>
        <sz val="10"/>
        <rFont val="Arial"/>
        <family val="2"/>
      </rPr>
      <t xml:space="preserve"> [N]</t>
    </r>
  </si>
  <si>
    <r>
      <t>L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[mm]</t>
    </r>
  </si>
  <si>
    <r>
      <t>Fa</t>
    </r>
    <r>
      <rPr>
        <sz val="10"/>
        <rFont val="Arial"/>
        <family val="2"/>
      </rPr>
      <t xml:space="preserve"> [N]</t>
    </r>
  </si>
  <si>
    <r>
      <t>K</t>
    </r>
    <r>
      <rPr>
        <vertAlign val="subscript"/>
        <sz val="10"/>
        <rFont val="Arial"/>
        <family val="2"/>
      </rPr>
      <t>A</t>
    </r>
  </si>
  <si>
    <t>7,5&lt;=d&lt;150</t>
  </si>
  <si>
    <t>Oberflächenrauheit</t>
  </si>
  <si>
    <t>zu verwenden</t>
  </si>
  <si>
    <t>Gesamteinflussfaktoren</t>
  </si>
  <si>
    <r>
      <t>Wechselfestigkeiten des gekerbten (realen) Bauteils [N/mm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</si>
  <si>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Mittelspannungsempfindlichkeiten</t>
  </si>
  <si>
    <r>
      <t>Mittelspannungen [N/mm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</si>
  <si>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Vergleichsmittelspannungen [N/mm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</si>
  <si>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Beanspruchungen, die zum Versagen führen</t>
  </si>
  <si>
    <r>
      <t>s</t>
    </r>
    <r>
      <rPr>
        <vertAlign val="subscript"/>
        <sz val="10"/>
        <rFont val="Arial"/>
        <family val="2"/>
      </rPr>
      <t>bADK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</si>
  <si>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tADK</t>
    </r>
    <r>
      <rPr>
        <sz val="10"/>
        <rFont val="Arial"/>
        <family val="0"/>
      </rPr>
      <t xml:space="preserve"> =</t>
    </r>
  </si>
  <si>
    <t>Vorhandene Beanspruchungen</t>
  </si>
  <si>
    <r>
      <t>s</t>
    </r>
    <r>
      <rPr>
        <vertAlign val="subscript"/>
        <sz val="10"/>
        <rFont val="Arial"/>
        <family val="2"/>
      </rPr>
      <t>ba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</si>
  <si>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ta</t>
    </r>
    <r>
      <rPr>
        <sz val="10"/>
        <rFont val="Arial"/>
        <family val="0"/>
      </rPr>
      <t xml:space="preserve"> =</t>
    </r>
  </si>
  <si>
    <t>Bereichsmomente, max  [Nm]</t>
  </si>
  <si>
    <r>
      <t>M</t>
    </r>
    <r>
      <rPr>
        <vertAlign val="subscript"/>
        <sz val="10"/>
        <rFont val="Arial"/>
        <family val="2"/>
      </rPr>
      <t>b1,max</t>
    </r>
    <r>
      <rPr>
        <sz val="10"/>
        <rFont val="Arial"/>
        <family val="0"/>
      </rPr>
      <t xml:space="preserve"> </t>
    </r>
  </si>
  <si>
    <r>
      <t>M</t>
    </r>
    <r>
      <rPr>
        <vertAlign val="subscript"/>
        <sz val="10"/>
        <rFont val="Arial"/>
        <family val="2"/>
      </rPr>
      <t>b2,max</t>
    </r>
    <r>
      <rPr>
        <sz val="10"/>
        <rFont val="Arial"/>
        <family val="0"/>
      </rPr>
      <t xml:space="preserve"> </t>
    </r>
  </si>
  <si>
    <r>
      <t>M</t>
    </r>
    <r>
      <rPr>
        <vertAlign val="subscript"/>
        <sz val="10"/>
        <rFont val="Arial"/>
        <family val="2"/>
      </rPr>
      <t>b,max</t>
    </r>
    <r>
      <rPr>
        <sz val="10"/>
        <rFont val="Arial"/>
        <family val="0"/>
      </rPr>
      <t xml:space="preserve"> </t>
    </r>
  </si>
  <si>
    <t>Sicherheitszahlen</t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</si>
  <si>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</si>
  <si>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</si>
  <si>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vorh</t>
    </r>
    <r>
      <rPr>
        <sz val="10"/>
        <rFont val="Arial"/>
        <family val="0"/>
      </rPr>
      <t xml:space="preserve"> =</t>
    </r>
  </si>
  <si>
    <t>Ansatz für Sicherheitsnachweis</t>
  </si>
  <si>
    <r>
      <t>S</t>
    </r>
    <r>
      <rPr>
        <vertAlign val="subscript"/>
        <sz val="10"/>
        <rFont val="Arial"/>
        <family val="2"/>
      </rPr>
      <t>vorh</t>
    </r>
    <r>
      <rPr>
        <sz val="10"/>
        <rFont val="Arial"/>
        <family val="0"/>
      </rPr>
      <t xml:space="preserve"> </t>
    </r>
  </si>
  <si>
    <r>
      <t>S</t>
    </r>
    <r>
      <rPr>
        <vertAlign val="subscript"/>
        <sz val="10"/>
        <rFont val="Arial"/>
        <family val="2"/>
      </rPr>
      <t>erf</t>
    </r>
    <r>
      <rPr>
        <sz val="10"/>
        <rFont val="Arial"/>
        <family val="0"/>
      </rPr>
      <t xml:space="preserve"> = 1,2</t>
    </r>
  </si>
  <si>
    <t>á</t>
  </si>
  <si>
    <t>Dynamische Sicherheit</t>
  </si>
  <si>
    <t>Dynamischer Sicherheitsnachweis</t>
  </si>
  <si>
    <t>Statischer Sicherheitsnachweis</t>
  </si>
  <si>
    <r>
      <t>Stat. Stützwirkung K</t>
    </r>
    <r>
      <rPr>
        <vertAlign val="subscript"/>
        <sz val="10"/>
        <rFont val="Arial"/>
        <family val="2"/>
      </rPr>
      <t xml:space="preserve">2F </t>
    </r>
    <r>
      <rPr>
        <sz val="10"/>
        <rFont val="Arial"/>
        <family val="2"/>
      </rPr>
      <t>(ohne harte Randschicht)</t>
    </r>
  </si>
  <si>
    <t>Biegung</t>
  </si>
  <si>
    <t>Torsion</t>
  </si>
  <si>
    <r>
      <t xml:space="preserve">Erhöhungsfaktor der Fließgrenze </t>
    </r>
    <r>
      <rPr>
        <sz val="10"/>
        <rFont val="UniversalMath1 BT"/>
        <family val="1"/>
      </rPr>
      <t>g</t>
    </r>
    <r>
      <rPr>
        <vertAlign val="subscript"/>
        <sz val="10"/>
        <rFont val="Arial"/>
        <family val="2"/>
      </rPr>
      <t>F</t>
    </r>
  </si>
  <si>
    <t>Beanspruchungen, die zum Versagen (Fließen) führen</t>
  </si>
  <si>
    <r>
      <t>s</t>
    </r>
    <r>
      <rPr>
        <vertAlign val="subscript"/>
        <sz val="10"/>
        <rFont val="Arial"/>
        <family val="2"/>
      </rPr>
      <t xml:space="preserve">bFK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</si>
  <si>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 xml:space="preserve">tFK </t>
    </r>
    <r>
      <rPr>
        <sz val="10"/>
        <rFont val="Arial"/>
        <family val="2"/>
      </rPr>
      <t>=</t>
    </r>
  </si>
  <si>
    <r>
      <t>N/mm</t>
    </r>
    <r>
      <rPr>
        <vertAlign val="superscript"/>
        <sz val="10"/>
        <rFont val="Arial"/>
        <family val="2"/>
      </rPr>
      <t>2</t>
    </r>
  </si>
  <si>
    <t>Maximalspannungen</t>
  </si>
  <si>
    <r>
      <t>s</t>
    </r>
    <r>
      <rPr>
        <vertAlign val="subscript"/>
        <sz val="10"/>
        <rFont val="Arial"/>
        <family val="2"/>
      </rPr>
      <t xml:space="preserve">bmax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</si>
  <si>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 xml:space="preserve">tmax </t>
    </r>
    <r>
      <rPr>
        <sz val="10"/>
        <rFont val="Arial"/>
        <family val="2"/>
      </rPr>
      <t>=</t>
    </r>
  </si>
  <si>
    <r>
      <t>[ N/mm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]</t>
    </r>
  </si>
  <si>
    <r>
      <t>R</t>
    </r>
    <r>
      <rPr>
        <vertAlign val="subscript"/>
        <sz val="10"/>
        <rFont val="Arial"/>
        <family val="2"/>
      </rPr>
      <t>m</t>
    </r>
  </si>
  <si>
    <r>
      <t>R</t>
    </r>
    <r>
      <rPr>
        <vertAlign val="sub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</si>
  <si>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bF</t>
    </r>
  </si>
  <si>
    <r>
      <t>t</t>
    </r>
    <r>
      <rPr>
        <vertAlign val="subscript"/>
        <sz val="10"/>
        <rFont val="Arial"/>
        <family val="2"/>
      </rPr>
      <t>tF</t>
    </r>
  </si>
  <si>
    <r>
      <t>s</t>
    </r>
    <r>
      <rPr>
        <vertAlign val="subscript"/>
        <sz val="10"/>
        <rFont val="Arial"/>
        <family val="2"/>
      </rPr>
      <t>zdW</t>
    </r>
  </si>
  <si>
    <r>
      <t>s</t>
    </r>
    <r>
      <rPr>
        <vertAlign val="subscript"/>
        <sz val="10"/>
        <rFont val="Arial"/>
        <family val="2"/>
      </rPr>
      <t>bW</t>
    </r>
  </si>
  <si>
    <r>
      <t>t</t>
    </r>
    <r>
      <rPr>
        <vertAlign val="subscript"/>
        <sz val="10"/>
        <rFont val="Arial"/>
        <family val="2"/>
      </rPr>
      <t>tW</t>
    </r>
  </si>
  <si>
    <r>
      <t>s</t>
    </r>
    <r>
      <rPr>
        <vertAlign val="subscript"/>
        <sz val="10"/>
        <rFont val="Arial"/>
        <family val="2"/>
      </rPr>
      <t>b,zul</t>
    </r>
  </si>
  <si>
    <r>
      <t>t</t>
    </r>
    <r>
      <rPr>
        <vertAlign val="subscript"/>
        <sz val="10"/>
        <rFont val="Arial"/>
        <family val="2"/>
      </rPr>
      <t>t,zul</t>
    </r>
  </si>
  <si>
    <r>
      <t>s</t>
    </r>
    <r>
      <rPr>
        <vertAlign val="subscript"/>
        <sz val="10"/>
        <rFont val="Arial"/>
        <family val="2"/>
      </rPr>
      <t>zdSch</t>
    </r>
  </si>
  <si>
    <r>
      <t>s</t>
    </r>
    <r>
      <rPr>
        <vertAlign val="subscript"/>
        <sz val="10"/>
        <rFont val="Arial"/>
        <family val="2"/>
      </rPr>
      <t>bSch</t>
    </r>
  </si>
  <si>
    <r>
      <t>t</t>
    </r>
    <r>
      <rPr>
        <vertAlign val="subscript"/>
        <sz val="10"/>
        <rFont val="Arial"/>
        <family val="2"/>
      </rPr>
      <t>tSch</t>
    </r>
  </si>
  <si>
    <t>EINGABEFELD</t>
  </si>
  <si>
    <r>
      <t>P</t>
    </r>
    <r>
      <rPr>
        <vertAlign val="subscript"/>
        <sz val="10"/>
        <rFont val="Arial"/>
        <family val="2"/>
      </rPr>
      <t>nenn</t>
    </r>
    <r>
      <rPr>
        <sz val="10"/>
        <rFont val="Arial"/>
        <family val="0"/>
      </rPr>
      <t xml:space="preserve"> [kW]</t>
    </r>
  </si>
  <si>
    <r>
      <t>F</t>
    </r>
    <r>
      <rPr>
        <vertAlign val="subscript"/>
        <sz val="10"/>
        <rFont val="Arial"/>
        <family val="2"/>
      </rPr>
      <t>Ay</t>
    </r>
  </si>
  <si>
    <r>
      <t>F</t>
    </r>
    <r>
      <rPr>
        <vertAlign val="subscript"/>
        <sz val="10"/>
        <rFont val="Arial"/>
        <family val="2"/>
      </rPr>
      <t>Ax</t>
    </r>
  </si>
  <si>
    <r>
      <t>F</t>
    </r>
    <r>
      <rPr>
        <vertAlign val="subscript"/>
        <sz val="10"/>
        <rFont val="Arial"/>
        <family val="2"/>
      </rPr>
      <t>Az</t>
    </r>
  </si>
  <si>
    <r>
      <t>F</t>
    </r>
    <r>
      <rPr>
        <vertAlign val="subscript"/>
        <sz val="10"/>
        <rFont val="Arial"/>
        <family val="2"/>
      </rPr>
      <t>By</t>
    </r>
  </si>
  <si>
    <r>
      <t>F</t>
    </r>
    <r>
      <rPr>
        <vertAlign val="subscript"/>
        <sz val="10"/>
        <rFont val="Arial"/>
        <family val="2"/>
      </rPr>
      <t>Bx</t>
    </r>
  </si>
  <si>
    <r>
      <t>Überlastfall I (</t>
    </r>
    <r>
      <rPr>
        <sz val="10"/>
        <rFont val="UniversalMath1 BT"/>
        <family val="1"/>
      </rPr>
      <t>s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, </t>
    </r>
    <r>
      <rPr>
        <sz val="10"/>
        <rFont val="UniversalMath1 BT"/>
        <family val="1"/>
      </rPr>
      <t>t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const.)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</si>
  <si>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(d)</t>
    </r>
  </si>
  <si>
    <r>
      <t>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(40)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</si>
  <si>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(d)</t>
    </r>
  </si>
  <si>
    <r>
      <t>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(d)</t>
    </r>
    <r>
      <rPr>
        <vertAlign val="subscript"/>
        <sz val="10"/>
        <rFont val="UniversalMath1 BT"/>
        <family val="1"/>
      </rPr>
      <t>s</t>
    </r>
  </si>
  <si>
    <r>
      <t>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(40)</t>
    </r>
    <r>
      <rPr>
        <vertAlign val="subscript"/>
        <sz val="10"/>
        <rFont val="UniversalMath1 BT"/>
        <family val="1"/>
      </rPr>
      <t>s</t>
    </r>
  </si>
  <si>
    <r>
      <t>K</t>
    </r>
    <r>
      <rPr>
        <vertAlign val="subscript"/>
        <sz val="10"/>
        <rFont val="Arial"/>
        <family val="0"/>
      </rPr>
      <t>F</t>
    </r>
    <r>
      <rPr>
        <vertAlign val="subscript"/>
        <sz val="10"/>
        <rFont val="UniversalMath1 BT"/>
        <family val="1"/>
      </rPr>
      <t>s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</si>
  <si>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0"/>
      </rPr>
      <t>F</t>
    </r>
    <r>
      <rPr>
        <vertAlign val="subscript"/>
        <sz val="10"/>
        <rFont val="UniversalMath1 BT"/>
        <family val="1"/>
      </rPr>
      <t>t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</si>
  <si>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</si>
  <si>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r>
      <t>K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</si>
  <si>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bWK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</si>
  <si>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tWK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</si>
  <si>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bm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</si>
  <si>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tm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</si>
  <si>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mv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</si>
  <si>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mv</t>
    </r>
    <r>
      <rPr>
        <sz val="10"/>
        <rFont val="Arial"/>
        <family val="0"/>
      </rPr>
      <t xml:space="preserve"> =</t>
    </r>
  </si>
  <si>
    <r>
      <t>s</t>
    </r>
    <r>
      <rPr>
        <vertAlign val="subscript"/>
        <sz val="10"/>
        <rFont val="Arial"/>
        <family val="2"/>
      </rPr>
      <t>B</t>
    </r>
  </si>
  <si>
    <r>
      <t>b</t>
    </r>
    <r>
      <rPr>
        <sz val="10"/>
        <rFont val="Arial"/>
        <family val="0"/>
      </rPr>
      <t>*</t>
    </r>
    <r>
      <rPr>
        <vertAlign val="subscript"/>
        <sz val="10"/>
        <rFont val="UniversalMath1 BT"/>
        <family val="1"/>
      </rPr>
      <t>s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</si>
  <si>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=</t>
    </r>
  </si>
  <si>
    <r>
      <t>b</t>
    </r>
    <r>
      <rPr>
        <sz val="10"/>
        <rFont val="Arial"/>
        <family val="0"/>
      </rPr>
      <t>*</t>
    </r>
    <r>
      <rPr>
        <vertAlign val="subscript"/>
        <sz val="10"/>
        <rFont val="UniversalMath1 BT"/>
        <family val="1"/>
      </rPr>
      <t xml:space="preserve">s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</si>
  <si>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UniversalMath1 BT"/>
        <family val="1"/>
      </rPr>
      <t xml:space="preserve">s </t>
    </r>
    <r>
      <rPr>
        <sz val="10"/>
        <rFont val="Arial"/>
        <family val="2"/>
      </rPr>
      <t>=</t>
    </r>
  </si>
  <si>
    <r>
      <t>b</t>
    </r>
    <r>
      <rPr>
        <vertAlign val="subscript"/>
        <sz val="10"/>
        <rFont val="UniversalMath1 BT"/>
        <family val="1"/>
      </rPr>
      <t xml:space="preserve">t </t>
    </r>
    <r>
      <rPr>
        <sz val="10"/>
        <rFont val="Arial"/>
        <family val="2"/>
      </rPr>
      <t>=</t>
    </r>
  </si>
  <si>
    <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)=</t>
    </r>
  </si>
  <si>
    <r>
      <t>b</t>
    </r>
    <r>
      <rPr>
        <sz val="10"/>
        <rFont val="Arial"/>
        <family val="0"/>
      </rPr>
      <t>*</t>
    </r>
    <r>
      <rPr>
        <vertAlign val="subscript"/>
        <sz val="10"/>
        <rFont val="UniversalMath1 BT"/>
        <family val="1"/>
      </rPr>
      <t>s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)=</t>
    </r>
  </si>
  <si>
    <r>
      <t xml:space="preserve">~ </t>
    </r>
    <r>
      <rPr>
        <sz val="10"/>
        <rFont val="UniversalMath1 BT"/>
        <family val="1"/>
      </rPr>
      <t>a</t>
    </r>
    <r>
      <rPr>
        <vertAlign val="subscript"/>
        <sz val="10"/>
        <rFont val="UniversalMath1 BT"/>
        <family val="1"/>
      </rPr>
      <t>s</t>
    </r>
  </si>
  <si>
    <r>
      <t>b</t>
    </r>
    <r>
      <rPr>
        <sz val="10"/>
        <rFont val="Arial"/>
        <family val="0"/>
      </rPr>
      <t>*</t>
    </r>
    <r>
      <rPr>
        <vertAlign val="subscript"/>
        <sz val="10"/>
        <rFont val="UniversalMath1 BT"/>
        <family val="1"/>
      </rPr>
      <t xml:space="preserve">s </t>
    </r>
    <r>
      <rPr>
        <sz val="10"/>
        <rFont val="Arial"/>
        <family val="2"/>
      </rPr>
      <t xml:space="preserve">= für </t>
    </r>
    <r>
      <rPr>
        <sz val="10"/>
        <rFont val="UniversalMath1 BT"/>
        <family val="1"/>
      </rP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[N/mm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] mit </t>
    </r>
    <r>
      <rPr>
        <sz val="10"/>
        <rFont val="UniversalMath1 BT"/>
        <family val="1"/>
      </rP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</t>
    </r>
    <r>
      <rPr>
        <sz val="10"/>
        <rFont val="UniversalMath1 BT"/>
        <family val="1"/>
      </rPr>
      <t>s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(d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>) *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(40mm)</t>
    </r>
  </si>
  <si>
    <r>
      <t>für K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-Berechnung</t>
    </r>
  </si>
  <si>
    <t>Statische Sicherheit</t>
  </si>
  <si>
    <r>
      <t>y</t>
    </r>
    <r>
      <rPr>
        <vertAlign val="subscript"/>
        <sz val="10"/>
        <rFont val="Arial"/>
        <family val="0"/>
      </rPr>
      <t>b</t>
    </r>
    <r>
      <rPr>
        <vertAlign val="subscript"/>
        <sz val="10"/>
        <rFont val="UniversalMath1 BT"/>
        <family val="1"/>
      </rPr>
      <t>s</t>
    </r>
    <r>
      <rPr>
        <vertAlign val="subscript"/>
        <sz val="10"/>
        <rFont val="Arial"/>
        <family val="0"/>
      </rPr>
      <t>K</t>
    </r>
    <r>
      <rPr>
        <sz val="10"/>
        <rFont val="Arial"/>
        <family val="0"/>
      </rPr>
      <t xml:space="preserve"> =</t>
    </r>
  </si>
  <si>
    <r>
      <t>y</t>
    </r>
    <r>
      <rPr>
        <vertAlign val="subscript"/>
        <sz val="10"/>
        <rFont val="UniversalMath1 BT"/>
        <family val="1"/>
      </rPr>
      <t>t</t>
    </r>
    <r>
      <rPr>
        <vertAlign val="subscript"/>
        <sz val="10"/>
        <rFont val="Arial"/>
        <family val="0"/>
      </rPr>
      <t>K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</si>
  <si>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tmax</t>
    </r>
    <r>
      <rPr>
        <sz val="10"/>
        <rFont val="Arial"/>
        <family val="2"/>
      </rPr>
      <t xml:space="preserve"> [Nm]</t>
    </r>
  </si>
  <si>
    <t>Voller Durchmesser d [mm]</t>
  </si>
  <si>
    <t>Dynamische Sicherheit =</t>
  </si>
  <si>
    <t>Statische Sicherheit =</t>
  </si>
  <si>
    <r>
      <t>M</t>
    </r>
    <r>
      <rPr>
        <vertAlign val="subscript"/>
        <sz val="10"/>
        <rFont val="Arial"/>
        <family val="2"/>
      </rPr>
      <t>tnenn</t>
    </r>
    <r>
      <rPr>
        <sz val="10"/>
        <rFont val="Arial"/>
        <family val="2"/>
      </rPr>
      <t xml:space="preserve"> [Nm]</t>
    </r>
  </si>
  <si>
    <t>Einflussfaktor der Oberflächenverfestigung   Kv =</t>
  </si>
  <si>
    <r>
      <t xml:space="preserve">Normales Fräsen (Rz 10-63 </t>
    </r>
    <r>
      <rPr>
        <sz val="10"/>
        <rFont val="UniversalMath1 BT"/>
        <family val="1"/>
      </rPr>
      <t>m</t>
    </r>
    <r>
      <rPr>
        <sz val="10"/>
        <rFont val="Arial"/>
        <family val="0"/>
      </rPr>
      <t>m),  Rz, gew.</t>
    </r>
  </si>
  <si>
    <t>Datenblatt Nr:</t>
  </si>
  <si>
    <t>Werkstoff</t>
  </si>
  <si>
    <r>
      <t>l</t>
    </r>
    <r>
      <rPr>
        <vertAlign val="subscript"/>
        <sz val="10"/>
        <rFont val="Arial"/>
        <family val="2"/>
      </rPr>
      <t>gew</t>
    </r>
  </si>
  <si>
    <r>
      <t>P</t>
    </r>
    <r>
      <rPr>
        <vertAlign val="subscript"/>
        <sz val="10"/>
        <rFont val="Arial"/>
        <family val="2"/>
      </rPr>
      <t>nenn</t>
    </r>
    <r>
      <rPr>
        <sz val="10"/>
        <rFont val="Arial"/>
        <family val="2"/>
      </rPr>
      <t xml:space="preserve"> [kW]</t>
    </r>
  </si>
  <si>
    <r>
      <t>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[mm]</t>
    </r>
  </si>
  <si>
    <r>
      <t>L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[mm]</t>
    </r>
  </si>
  <si>
    <r>
      <t>L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[mm]</t>
    </r>
  </si>
  <si>
    <t>Festlager</t>
  </si>
  <si>
    <t>Loslager</t>
  </si>
  <si>
    <t>mm</t>
  </si>
  <si>
    <t>N</t>
  </si>
  <si>
    <t>Fa/Fr</t>
  </si>
  <si>
    <t xml:space="preserve">1/min </t>
  </si>
  <si>
    <t>e</t>
  </si>
  <si>
    <t>Y</t>
  </si>
  <si>
    <t>für Rechnung</t>
  </si>
  <si>
    <t>Stunden</t>
  </si>
  <si>
    <t>Lebensdauer</t>
  </si>
  <si>
    <t>Jahre</t>
  </si>
  <si>
    <t>Sicherheitsstift</t>
  </si>
  <si>
    <r>
      <t>f</t>
    </r>
    <r>
      <rPr>
        <vertAlign val="subscript"/>
        <sz val="10"/>
        <rFont val="Arial"/>
        <family val="2"/>
      </rPr>
      <t>o</t>
    </r>
  </si>
  <si>
    <r>
      <t>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*Fa/C</t>
    </r>
    <r>
      <rPr>
        <vertAlign val="subscript"/>
        <sz val="10"/>
        <rFont val="Arial"/>
        <family val="2"/>
      </rPr>
      <t>o</t>
    </r>
  </si>
  <si>
    <r>
      <t>e(f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*Fa/C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</si>
  <si>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r>
      <t>Y(f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*Fa/C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)</t>
    </r>
  </si>
  <si>
    <r>
      <t>l</t>
    </r>
    <r>
      <rPr>
        <vertAlign val="subscript"/>
        <sz val="10"/>
        <rFont val="Arial"/>
        <family val="2"/>
      </rPr>
      <t>N</t>
    </r>
  </si>
  <si>
    <t>Lager wählen aus Wälzlagerkatalog (FAG)</t>
  </si>
  <si>
    <t>Eingabe aus Datenblatt "Passfederverb."</t>
  </si>
  <si>
    <t>b [mm]</t>
  </si>
  <si>
    <t>h [mm]</t>
  </si>
  <si>
    <r>
      <t>t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2"/>
      </rPr>
      <t>[mm]</t>
    </r>
  </si>
  <si>
    <r>
      <t>t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[mm]</t>
    </r>
  </si>
  <si>
    <t>Re [N/mm²]</t>
  </si>
  <si>
    <t>l [mm]</t>
  </si>
  <si>
    <r>
      <t>P</t>
    </r>
    <r>
      <rPr>
        <vertAlign val="subscript"/>
        <sz val="10"/>
        <rFont val="Arial"/>
        <family val="2"/>
      </rPr>
      <t xml:space="preserve">zul </t>
    </r>
    <r>
      <rPr>
        <sz val="10"/>
        <rFont val="Arial"/>
        <family val="2"/>
      </rPr>
      <t>[N/mm²]</t>
    </r>
  </si>
  <si>
    <r>
      <t>L</t>
    </r>
    <r>
      <rPr>
        <vertAlign val="subscript"/>
        <sz val="10"/>
        <rFont val="Arial"/>
        <family val="2"/>
      </rPr>
      <t xml:space="preserve">terf1 </t>
    </r>
    <r>
      <rPr>
        <sz val="10"/>
        <rFont val="Arial"/>
        <family val="2"/>
      </rPr>
      <t>[mm]</t>
    </r>
  </si>
  <si>
    <r>
      <t>L</t>
    </r>
    <r>
      <rPr>
        <vertAlign val="subscript"/>
        <sz val="10"/>
        <rFont val="Arial"/>
        <family val="2"/>
      </rPr>
      <t xml:space="preserve">terf2 </t>
    </r>
    <r>
      <rPr>
        <sz val="10"/>
        <rFont val="Arial"/>
        <family val="2"/>
      </rPr>
      <t>[mm]</t>
    </r>
  </si>
  <si>
    <r>
      <t>L</t>
    </r>
    <r>
      <rPr>
        <vertAlign val="subscript"/>
        <sz val="10"/>
        <rFont val="Arial"/>
        <family val="2"/>
      </rPr>
      <t xml:space="preserve">terfmax </t>
    </r>
    <r>
      <rPr>
        <sz val="10"/>
        <rFont val="Arial"/>
        <family val="2"/>
      </rPr>
      <t>[mm]</t>
    </r>
  </si>
  <si>
    <t>Rm [N/mm²]</t>
  </si>
  <si>
    <r>
      <t>t</t>
    </r>
    <r>
      <rPr>
        <vertAlign val="subscript"/>
        <sz val="10"/>
        <rFont val="Arial"/>
        <family val="2"/>
      </rPr>
      <t xml:space="preserve">vers </t>
    </r>
    <r>
      <rPr>
        <sz val="10"/>
        <rFont val="Arial"/>
        <family val="2"/>
      </rPr>
      <t>[N/mm²]</t>
    </r>
  </si>
  <si>
    <r>
      <t>d</t>
    </r>
    <r>
      <rPr>
        <vertAlign val="subscript"/>
        <sz val="10"/>
        <rFont val="Arial"/>
        <family val="2"/>
      </rPr>
      <t xml:space="preserve">stift </t>
    </r>
    <r>
      <rPr>
        <sz val="10"/>
        <rFont val="Arial"/>
        <family val="2"/>
      </rPr>
      <t>[mm]</t>
    </r>
  </si>
  <si>
    <r>
      <t>d</t>
    </r>
    <r>
      <rPr>
        <vertAlign val="subscript"/>
        <sz val="10"/>
        <rFont val="Arial"/>
        <family val="2"/>
      </rPr>
      <t>gew</t>
    </r>
    <r>
      <rPr>
        <sz val="10"/>
        <rFont val="Arial"/>
        <family val="0"/>
      </rPr>
      <t xml:space="preserve"> [mm]</t>
    </r>
  </si>
  <si>
    <t>Fa [N]</t>
  </si>
  <si>
    <t>Fr [N]</t>
  </si>
  <si>
    <r>
      <t>n [min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</si>
  <si>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r>
      <t>d</t>
    </r>
    <r>
      <rPr>
        <vertAlign val="subscript"/>
        <sz val="10"/>
        <rFont val="Arial"/>
        <family val="2"/>
      </rPr>
      <t xml:space="preserve">gew </t>
    </r>
    <r>
      <rPr>
        <sz val="10"/>
        <rFont val="Arial"/>
        <family val="2"/>
      </rPr>
      <t>[mm]</t>
    </r>
  </si>
  <si>
    <r>
      <t>C</t>
    </r>
    <r>
      <rPr>
        <vertAlign val="subscript"/>
        <sz val="10"/>
        <rFont val="Arial"/>
        <family val="2"/>
      </rPr>
      <t xml:space="preserve">dyn </t>
    </r>
    <r>
      <rPr>
        <sz val="10"/>
        <rFont val="Arial"/>
        <family val="2"/>
      </rPr>
      <t>[N]</t>
    </r>
  </si>
  <si>
    <r>
      <t>C</t>
    </r>
    <r>
      <rPr>
        <vertAlign val="subscript"/>
        <sz val="10"/>
        <rFont val="Arial"/>
        <family val="2"/>
      </rPr>
      <t xml:space="preserve">o </t>
    </r>
    <r>
      <rPr>
        <sz val="10"/>
        <rFont val="Arial"/>
        <family val="2"/>
      </rPr>
      <t>[N]</t>
    </r>
  </si>
  <si>
    <t>P [N]</t>
  </si>
  <si>
    <r>
      <t>l</t>
    </r>
    <r>
      <rPr>
        <vertAlign val="subscript"/>
        <sz val="10"/>
        <rFont val="Arial"/>
        <family val="2"/>
      </rPr>
      <t xml:space="preserve">h </t>
    </r>
    <r>
      <rPr>
        <sz val="10"/>
        <rFont val="Arial"/>
        <family val="2"/>
      </rPr>
      <t>[h]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</si>
</sst>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"/>
    <numFmt numFmtId="165" formatCode="######"/>
    <numFmt numFmtId="166" formatCode="#####"/>
    <numFmt numFmtId="167" formatCode="0.0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0000000"/>
  </numFmts>
  <fonts count="15">
    <font>
      <sz val="10"/>
      <name val="Arial"/>
      <family val="0"/>
    </font>
    <font>
      <b/>
      <sz val="8"/>
      <name val="Tahoma"/>
      <family val="0"/>
    </font>
    <font>
      <sz val="10"/>
      <name val="GreekC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UniversalMath1 BT"/>
      <family val="1"/>
    </font>
    <font>
      <u val="single"/>
      <sz val="12"/>
      <name val="Arial"/>
      <family val="0"/>
    </font>
    <font>
      <i/>
      <sz val="10"/>
      <name val="Arial"/>
      <family val="2"/>
    </font>
    <font>
      <vertAlign val="subscript"/>
      <sz val="10"/>
      <name val="UniversalMath1 BT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2" fontId="0" fillId="0" borderId="8" xfId="0" applyNumberForma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2" fontId="0" fillId="0" borderId="2" xfId="0" applyNumberForma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2" fontId="0" fillId="0" borderId="3" xfId="0" applyNumberForma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left"/>
      <protection/>
    </xf>
    <xf numFmtId="0" fontId="0" fillId="0" borderId="8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7" xfId="0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" fontId="0" fillId="0" borderId="3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shrinkToFit="1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0" fontId="0" fillId="0" borderId="2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8" xfId="0" applyBorder="1" applyAlignment="1">
      <alignment horizontal="center"/>
    </xf>
    <xf numFmtId="0" fontId="13" fillId="0" borderId="10" xfId="0" applyFont="1" applyBorder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/>
    </xf>
    <xf numFmtId="169" fontId="0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169" fontId="0" fillId="0" borderId="1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7" fontId="0" fillId="0" borderId="1" xfId="0" applyNumberForma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0" fillId="0" borderId="5" xfId="0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wrapText="1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2" borderId="0" xfId="0" applyFont="1" applyFill="1" applyAlignment="1" applyProtection="1">
      <alignment/>
      <protection locked="0"/>
    </xf>
    <xf numFmtId="170" fontId="0" fillId="0" borderId="9" xfId="0" applyNumberForma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color rgb="FFFFFF00"/>
      </font>
      <fill>
        <patternFill>
          <bgColor rgb="FFFF00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12.57421875" style="12" customWidth="1"/>
    <col min="2" max="3" width="11.421875" style="12" customWidth="1"/>
    <col min="4" max="4" width="12.140625" style="12" customWidth="1"/>
    <col min="5" max="7" width="11.421875" style="12" customWidth="1"/>
    <col min="8" max="8" width="12.7109375" style="12" bestFit="1" customWidth="1"/>
    <col min="9" max="13" width="11.421875" style="12" customWidth="1"/>
    <col min="14" max="14" width="4.57421875" style="12" bestFit="1" customWidth="1"/>
    <col min="15" max="15" width="7.28125" style="12" bestFit="1" customWidth="1"/>
    <col min="16" max="16" width="5.7109375" style="12" bestFit="1" customWidth="1"/>
    <col min="17" max="16384" width="11.421875" style="12" customWidth="1"/>
  </cols>
  <sheetData>
    <row r="1" ht="12.75">
      <c r="B1" s="13" t="s">
        <v>125</v>
      </c>
    </row>
    <row r="2" ht="12.75"/>
    <row r="3" ht="12.75"/>
    <row r="4" ht="12.75"/>
    <row r="5" spans="1:9" ht="12.75">
      <c r="A5" s="14" t="s">
        <v>169</v>
      </c>
      <c r="B5" s="60">
        <v>13</v>
      </c>
      <c r="C5" s="15"/>
      <c r="D5" s="16" t="s">
        <v>62</v>
      </c>
      <c r="E5" s="16"/>
      <c r="F5" s="15"/>
      <c r="G5" s="15" t="s">
        <v>86</v>
      </c>
      <c r="H5" s="15"/>
      <c r="I5" s="15"/>
    </row>
    <row r="6" spans="1:11" ht="15.75">
      <c r="A6" s="17" t="s">
        <v>126</v>
      </c>
      <c r="B6" s="18">
        <f>IF(ISBLANK($B$5),"",HLOOKUP($B$5,Daten!$A$1:Daten!$U$6,2,FALSE))</f>
        <v>15</v>
      </c>
      <c r="D6" s="19" t="s">
        <v>127</v>
      </c>
      <c r="E6" s="20">
        <f>K9-E9</f>
        <v>291.2118689298019</v>
      </c>
      <c r="G6" s="19" t="s">
        <v>87</v>
      </c>
      <c r="H6" s="20">
        <f>SQRT((B10*E6/1000)^2+(B10*E7/1000)^2)</f>
        <v>328.8685238794408</v>
      </c>
      <c r="J6" s="21" t="s">
        <v>166</v>
      </c>
      <c r="K6" s="20">
        <f>9550*B6/B7</f>
        <v>427.6119402985075</v>
      </c>
    </row>
    <row r="7" spans="1:11" ht="15.75">
      <c r="A7" s="17" t="s">
        <v>60</v>
      </c>
      <c r="B7" s="18">
        <f>IF(ISBLANK($B$5),"",HLOOKUP($B$5,Daten!$A$1:Daten!$U$6,3,FALSE))</f>
        <v>335</v>
      </c>
      <c r="D7" s="22" t="s">
        <v>128</v>
      </c>
      <c r="E7" s="23">
        <f>K8-E10</f>
        <v>1282.8358208955224</v>
      </c>
      <c r="G7" s="22" t="s">
        <v>88</v>
      </c>
      <c r="H7" s="23">
        <f>SQRT(((B9-B10)*E9/1000)^2+((B9-B10)*E10/1000)^2)</f>
        <v>351.9315782222565</v>
      </c>
      <c r="J7" s="24" t="s">
        <v>162</v>
      </c>
      <c r="K7" s="23">
        <f>K6*B11</f>
        <v>513.1343283582089</v>
      </c>
    </row>
    <row r="8" spans="1:11" ht="15.75">
      <c r="A8" s="17" t="s">
        <v>65</v>
      </c>
      <c r="B8" s="18">
        <f>IF(ISBLANK($B$5),"",HLOOKUP($B$5,Daten!$A$1:Daten!$U$6,4,FALSE))</f>
        <v>300</v>
      </c>
      <c r="D8" s="22" t="s">
        <v>129</v>
      </c>
      <c r="E8" s="23">
        <f>-1*K10</f>
        <v>-480.77551214609133</v>
      </c>
      <c r="G8" s="24"/>
      <c r="H8" s="25"/>
      <c r="J8" s="24" t="s">
        <v>66</v>
      </c>
      <c r="K8" s="23">
        <f>2*K7/(B8*10^-3)</f>
        <v>3420.8955223880594</v>
      </c>
    </row>
    <row r="9" spans="1:11" ht="15.75">
      <c r="A9" s="17" t="s">
        <v>67</v>
      </c>
      <c r="B9" s="18">
        <f>IF(ISBLANK($B$5),"",HLOOKUP($B$5,Daten!$A$1:Daten!$U$6,5,FALSE))</f>
        <v>400</v>
      </c>
      <c r="C9" s="15"/>
      <c r="D9" s="22" t="s">
        <v>130</v>
      </c>
      <c r="E9" s="23">
        <f>(K10*B8/2+K9*B10)/B9</f>
        <v>966.1286270290947</v>
      </c>
      <c r="G9" s="26" t="s">
        <v>89</v>
      </c>
      <c r="H9" s="27">
        <f>IF(H7&gt;H6,H7,H6)</f>
        <v>351.9315782222565</v>
      </c>
      <c r="J9" s="24" t="s">
        <v>68</v>
      </c>
      <c r="K9" s="23">
        <f>K8*(TAN(B12*PI()/180)/COS(B13*PI()/180))</f>
        <v>1257.3404959588966</v>
      </c>
    </row>
    <row r="10" spans="1:11" ht="15.75">
      <c r="A10" s="17" t="s">
        <v>69</v>
      </c>
      <c r="B10" s="18">
        <f>IF(ISBLANK($B$5),"",HLOOKUP($B$5,Daten!$A$1:Daten!$U$6,6,FALSE))</f>
        <v>250</v>
      </c>
      <c r="C10" s="15"/>
      <c r="D10" s="26" t="s">
        <v>131</v>
      </c>
      <c r="E10" s="27">
        <f>K8*B10/B9</f>
        <v>2138.059701492537</v>
      </c>
      <c r="J10" s="28" t="s">
        <v>70</v>
      </c>
      <c r="K10" s="27">
        <f>K8*TAN(B13*PI()/180)</f>
        <v>480.77551214609133</v>
      </c>
    </row>
    <row r="11" spans="1:4" ht="15.75">
      <c r="A11" s="29" t="s">
        <v>71</v>
      </c>
      <c r="B11" s="30">
        <v>1.2</v>
      </c>
      <c r="C11" s="15"/>
      <c r="D11" s="15"/>
    </row>
    <row r="12" spans="1:9" ht="15.75">
      <c r="A12" s="31" t="s">
        <v>63</v>
      </c>
      <c r="B12" s="32">
        <v>20</v>
      </c>
      <c r="C12" s="33"/>
      <c r="D12" s="16"/>
      <c r="E12" s="34"/>
      <c r="G12" s="34"/>
      <c r="H12" s="35"/>
      <c r="I12" s="34"/>
    </row>
    <row r="13" spans="1:9" ht="15.75">
      <c r="A13" s="36" t="s">
        <v>64</v>
      </c>
      <c r="B13" s="18">
        <v>8</v>
      </c>
      <c r="C13" s="37"/>
      <c r="D13" s="38"/>
      <c r="E13" s="39"/>
      <c r="G13" s="39"/>
      <c r="H13" s="16"/>
      <c r="I13" s="16"/>
    </row>
    <row r="14" spans="1:3" ht="12.75">
      <c r="A14" s="40" t="s">
        <v>61</v>
      </c>
      <c r="B14" s="9">
        <v>2</v>
      </c>
      <c r="C14" s="33"/>
    </row>
    <row r="15" ht="12.75">
      <c r="C15" s="33"/>
    </row>
    <row r="16" spans="1:11" ht="15.75">
      <c r="A16" s="41" t="s">
        <v>48</v>
      </c>
      <c r="B16" s="42" t="s">
        <v>113</v>
      </c>
      <c r="C16" s="42" t="s">
        <v>114</v>
      </c>
      <c r="D16" s="43" t="s">
        <v>115</v>
      </c>
      <c r="E16" s="43" t="s">
        <v>116</v>
      </c>
      <c r="F16" s="43" t="s">
        <v>117</v>
      </c>
      <c r="G16" s="43" t="s">
        <v>118</v>
      </c>
      <c r="H16" s="43" t="s">
        <v>119</v>
      </c>
      <c r="I16" s="44" t="s">
        <v>3</v>
      </c>
      <c r="J16" s="44" t="s">
        <v>4</v>
      </c>
      <c r="K16" s="45" t="s">
        <v>49</v>
      </c>
    </row>
    <row r="17" spans="1:11" ht="12.75">
      <c r="A17" s="10" t="s">
        <v>6</v>
      </c>
      <c r="B17" s="46">
        <f>IF(ISBLANK($A17),"",VLOOKUP($A17,Werkst!$A1:$O18,4,FALSE))</f>
        <v>430</v>
      </c>
      <c r="C17" s="46">
        <f>IF(ISBLANK($A17),"",VLOOKUP($A17,Werkst!$A1:$O18,5,FALSE))</f>
        <v>275</v>
      </c>
      <c r="D17" s="47">
        <f>IF(ISBLANK($A17),"",VLOOKUP($A17,Werkst!$A1:$O18,6,FALSE))</f>
        <v>300</v>
      </c>
      <c r="E17" s="47">
        <f>IF(ISBLANK($A17),"",VLOOKUP($A17,Werkst!$A1:$O18,7,FALSE))</f>
        <v>195</v>
      </c>
      <c r="F17" s="47">
        <f>IF(ISBLANK($A17),"",VLOOKUP($A17,Werkst!$A1:$O18,8,FALSE))</f>
        <v>170</v>
      </c>
      <c r="G17" s="48">
        <f>IF(ISBLANK($A17),"",VLOOKUP($A17,Werkst!$A1:$O18,9,FALSE))</f>
        <v>215</v>
      </c>
      <c r="H17" s="47">
        <f>IF(ISBLANK($A17),"",VLOOKUP($A17,Werkst!$A1:$O18,10,FALSE))</f>
        <v>125</v>
      </c>
      <c r="I17" s="46">
        <f>IF(ISBLANK($A17),"",VLOOKUP($A17,Werkst!$A1:$O18,14,FALSE))</f>
        <v>22</v>
      </c>
      <c r="J17" s="49">
        <f>IF(ISBLANK($A17),"",VLOOKUP($A17,Werkst!$A1:$O18,15,FALSE))</f>
        <v>1.05</v>
      </c>
      <c r="K17" s="50">
        <f>IF(ISBLANK($A17),"",VLOOKUP($A17,Werkst!$A1:$P18,16,FALSE))</f>
        <v>2</v>
      </c>
    </row>
    <row r="18" spans="1:16" ht="18" customHeight="1">
      <c r="A18" s="51" t="s">
        <v>112</v>
      </c>
      <c r="B18" s="47"/>
      <c r="C18" s="39"/>
      <c r="D18" s="52" t="s">
        <v>120</v>
      </c>
      <c r="E18" s="43" t="s">
        <v>121</v>
      </c>
      <c r="F18" s="43" t="s">
        <v>122</v>
      </c>
      <c r="G18" s="43" t="s">
        <v>123</v>
      </c>
      <c r="H18" s="53" t="s">
        <v>124</v>
      </c>
      <c r="K18" s="39"/>
      <c r="L18" s="39"/>
      <c r="M18" s="39"/>
      <c r="N18" s="39"/>
      <c r="O18" s="54"/>
      <c r="P18" s="55"/>
    </row>
    <row r="19" spans="1:16" ht="12.75">
      <c r="A19" s="47"/>
      <c r="B19" s="47"/>
      <c r="C19" s="39"/>
      <c r="D19" s="56">
        <f>D17/B14</f>
        <v>150</v>
      </c>
      <c r="E19" s="57">
        <f>E17/B14</f>
        <v>97.5</v>
      </c>
      <c r="F19" s="46">
        <f>IF(ISBLANK($A17),"",VLOOKUP($A17,Werkst!$A1:$O18,11,FALSE))</f>
        <v>270</v>
      </c>
      <c r="G19" s="46">
        <f>IF(ISBLANK($A17),"",VLOOKUP($A17,Werkst!$A1:$O18,12,FALSE))</f>
        <v>320</v>
      </c>
      <c r="H19" s="58">
        <f>IF(ISBLANK($A17),"",VLOOKUP($A17,Werkst!$A1:$O18,13,FALSE))</f>
        <v>190</v>
      </c>
      <c r="K19" s="39"/>
      <c r="L19" s="39"/>
      <c r="M19" s="39"/>
      <c r="N19" s="39"/>
      <c r="O19" s="54"/>
      <c r="P19" s="55"/>
    </row>
    <row r="24" ht="12.75">
      <c r="A24" s="59"/>
    </row>
    <row r="25" ht="12.75">
      <c r="G25" s="38"/>
    </row>
  </sheetData>
  <sheetProtection password="C9B6" sheet="1" objects="1" scenarios="1"/>
  <printOptions/>
  <pageMargins left="0.75" right="0.75" top="1" bottom="1" header="0.4921259845" footer="0.4921259845"/>
  <pageSetup orientation="landscape" paperSize="9" r:id="rId3"/>
  <headerFooter alignWithMargins="0">
    <oddHeader>&amp;LAlexander Reichert
VUT 03&amp;CAllg. Dateneingabe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12" customWidth="1"/>
    <col min="2" max="2" width="12.8515625" style="12" customWidth="1"/>
    <col min="3" max="16384" width="11.421875" style="12" customWidth="1"/>
  </cols>
  <sheetData>
    <row r="1" spans="2:11" ht="12.75">
      <c r="B1" s="13" t="s">
        <v>125</v>
      </c>
      <c r="J1" s="94" t="s">
        <v>164</v>
      </c>
      <c r="K1" s="95">
        <f>E72</f>
        <v>2.449960798162298</v>
      </c>
    </row>
    <row r="2" spans="1:11" ht="12.75">
      <c r="A2" s="96"/>
      <c r="B2" s="96"/>
      <c r="C2" s="96"/>
      <c r="D2" s="96"/>
      <c r="E2" s="96"/>
      <c r="F2" s="96"/>
      <c r="G2" s="96"/>
      <c r="H2" s="96"/>
      <c r="I2" s="96"/>
      <c r="J2" s="97" t="s">
        <v>165</v>
      </c>
      <c r="K2" s="98">
        <f>E93</f>
        <v>5.433259378584615</v>
      </c>
    </row>
    <row r="4" spans="4:11" ht="12.75">
      <c r="D4" s="33" t="s">
        <v>163</v>
      </c>
      <c r="E4" s="7">
        <v>46</v>
      </c>
      <c r="J4" s="33"/>
      <c r="K4" s="99"/>
    </row>
    <row r="5" spans="4:11" ht="12.75">
      <c r="D5" s="33" t="s">
        <v>167</v>
      </c>
      <c r="E5" s="11">
        <v>1</v>
      </c>
      <c r="J5" s="100"/>
      <c r="K5" s="101"/>
    </row>
    <row r="6" spans="4:11" ht="12.75">
      <c r="D6" s="33" t="s">
        <v>168</v>
      </c>
      <c r="E6" s="7">
        <v>4</v>
      </c>
      <c r="J6" s="100"/>
      <c r="K6" s="101"/>
    </row>
    <row r="8" spans="1:10" ht="12.75">
      <c r="A8" s="133" t="s">
        <v>157</v>
      </c>
      <c r="B8" s="134"/>
      <c r="C8" s="134"/>
      <c r="D8" s="134"/>
      <c r="E8" s="134"/>
      <c r="F8" s="134"/>
      <c r="G8" s="134"/>
      <c r="H8" s="134"/>
      <c r="I8" s="134"/>
      <c r="J8" s="135"/>
    </row>
    <row r="9" spans="1:10" ht="12.75">
      <c r="A9" s="136"/>
      <c r="B9" s="137"/>
      <c r="C9" s="137"/>
      <c r="D9" s="137"/>
      <c r="E9" s="137"/>
      <c r="F9" s="137"/>
      <c r="G9" s="137"/>
      <c r="H9" s="137"/>
      <c r="I9" s="137"/>
      <c r="J9" s="138"/>
    </row>
    <row r="10" spans="1:10" ht="15.75">
      <c r="A10" s="102" t="s">
        <v>148</v>
      </c>
      <c r="B10" s="103">
        <v>400</v>
      </c>
      <c r="C10" s="103">
        <v>500</v>
      </c>
      <c r="D10" s="103">
        <v>600</v>
      </c>
      <c r="E10" s="103">
        <v>700</v>
      </c>
      <c r="F10" s="103">
        <v>800</v>
      </c>
      <c r="G10" s="103">
        <v>900</v>
      </c>
      <c r="H10" s="103">
        <v>1000</v>
      </c>
      <c r="I10" s="103">
        <v>1100</v>
      </c>
      <c r="J10" s="103">
        <v>1200</v>
      </c>
    </row>
    <row r="11" spans="1:10" ht="14.25">
      <c r="A11" s="102" t="s">
        <v>149</v>
      </c>
      <c r="B11" s="103">
        <v>1.8</v>
      </c>
      <c r="C11" s="104">
        <v>2</v>
      </c>
      <c r="D11" s="103">
        <v>2.2</v>
      </c>
      <c r="E11" s="103">
        <v>2.3</v>
      </c>
      <c r="F11" s="103">
        <v>2.5</v>
      </c>
      <c r="G11" s="103">
        <v>2.6</v>
      </c>
      <c r="H11" s="103">
        <v>2.7</v>
      </c>
      <c r="I11" s="103">
        <v>2.8</v>
      </c>
      <c r="J11" s="103">
        <v>2.9</v>
      </c>
    </row>
    <row r="13" spans="1:3" ht="15.75">
      <c r="A13" s="105" t="s">
        <v>150</v>
      </c>
      <c r="B13" s="106">
        <f>Eingabe!B17*Nachweis!D34</f>
        <v>419.1654605456993</v>
      </c>
      <c r="C13" s="16"/>
    </row>
    <row r="14" spans="1:3" ht="14.25">
      <c r="A14" s="105" t="s">
        <v>151</v>
      </c>
      <c r="B14" s="106">
        <f>IF(B13&gt;C10,IF(B13&gt;D10,IF(B13&gt;E10,IF(B13&gt;F10,IF(B13&gt;G10,IF(B13&gt;H10,IF(B13&gt;I10,I11+(B13-I10)*0.1/100,H11+(B13-H10)*0.1/100),G11+(B13-G10)*0.1/100),F11+(B13-F10)*0.1/100),E11+(B13-E10)*0.2/100),D11+(B13-D10)*0.1/100),C11+(B13-C10)*0.2/100),B11+(B13-B10)*0.2/100)</f>
        <v>1.8383309210913987</v>
      </c>
      <c r="C14" s="16"/>
    </row>
    <row r="15" spans="1:3" ht="14.25">
      <c r="A15" s="105" t="s">
        <v>152</v>
      </c>
      <c r="B15" s="106">
        <f>B14*Nachweis!H31/Nachweis!G31</f>
        <v>1.8466066915610477</v>
      </c>
      <c r="C15" s="16"/>
    </row>
    <row r="16" spans="1:8" ht="14.25">
      <c r="A16" s="105" t="s">
        <v>153</v>
      </c>
      <c r="B16" s="106">
        <f>0.65*B15</f>
        <v>1.2002943495146812</v>
      </c>
      <c r="C16" s="16"/>
      <c r="H16" s="37"/>
    </row>
    <row r="17" spans="1:3" ht="12.75">
      <c r="A17" s="16"/>
      <c r="B17" s="16"/>
      <c r="C17" s="16"/>
    </row>
    <row r="18" spans="1:3" ht="15.75">
      <c r="A18" s="105" t="s">
        <v>154</v>
      </c>
      <c r="B18" s="16">
        <f>Eingabe!B17</f>
        <v>430</v>
      </c>
      <c r="C18" s="16"/>
    </row>
    <row r="19" spans="1:4" ht="15.75">
      <c r="A19" s="105" t="s">
        <v>155</v>
      </c>
      <c r="B19" s="16">
        <f>IF(B18&gt;C10,IF(B18&gt;D10,IF(B18&gt;E10,IF(B18&gt;F10,IF(B18&gt;G10,IF(B18&gt;H10,IF(B18&gt;I10,I11+(B18-I10)*0.1/100,H11+(B18-H10)*0.1/100),G11+(B18-G10)*0.1/100),F11+(B18-F10)*0.1/100),E11+(B18-E10)*0.2/100),D11+(B18-D10)*0.1/100),C11+(B18-C10)*0.2/100),B11+(B18-B10)*0.2/100)</f>
        <v>1.86</v>
      </c>
      <c r="C19" s="59" t="s">
        <v>156</v>
      </c>
      <c r="D19" s="12" t="s">
        <v>158</v>
      </c>
    </row>
    <row r="23" spans="1:8" ht="15.75">
      <c r="A23" s="15"/>
      <c r="B23" s="15"/>
      <c r="C23" s="107" t="s">
        <v>133</v>
      </c>
      <c r="D23" s="108" t="s">
        <v>134</v>
      </c>
      <c r="H23" s="109" t="s">
        <v>135</v>
      </c>
    </row>
    <row r="24" spans="1:8" ht="12.75">
      <c r="A24" s="110">
        <f>IF(AND(Eingabe!$K$17&lt;7,7.5&lt;=Nachweis!$E$4,Nachweis!$E$4&lt;=32),"Baustahl","")</f>
      </c>
      <c r="B24" s="111" t="s">
        <v>50</v>
      </c>
      <c r="C24" s="112">
        <f>IF(A24="","",1)</f>
      </c>
      <c r="D24" s="113"/>
      <c r="F24" s="139" t="s">
        <v>59</v>
      </c>
      <c r="G24" s="114" t="s">
        <v>57</v>
      </c>
      <c r="H24" s="113">
        <f>IF(AND(7.5&lt;=Nachweis!$E$4,Nachweis!$E$4&lt;150),1-0.154*LOG(Nachweis!$E$4/7.5),"")</f>
        <v>0.8786947284833594</v>
      </c>
    </row>
    <row r="25" spans="1:8" ht="12.75">
      <c r="A25" s="17" t="str">
        <f>IF(AND(Eingabe!$K$17&lt;7,32&lt;Nachweis!$E$4,Nachweis!$E$4&lt;300),"Baustahl","")</f>
        <v>Baustahl</v>
      </c>
      <c r="B25" s="39" t="s">
        <v>51</v>
      </c>
      <c r="C25" s="115">
        <f>IF(A25="","",1-0.26*LOG(Nachweis!$E$4/32))</f>
        <v>0.9590219581259662</v>
      </c>
      <c r="D25" s="116">
        <f>IF(A25="","",1-0.26*LOG(40/32))</f>
        <v>0.9748033966179054</v>
      </c>
      <c r="F25" s="140"/>
      <c r="G25" s="96" t="s">
        <v>58</v>
      </c>
      <c r="H25" s="117">
        <f>IF(Nachweis!$E$4&gt;=150,0.8,"")</f>
      </c>
    </row>
    <row r="26" spans="1:8" ht="12.75">
      <c r="A26" s="29">
        <f>IF(AND(Eingabe!$K$17&lt;7,Nachweis!$E$4&gt;=300),"Baustahl","")</f>
      </c>
      <c r="B26" s="118" t="s">
        <v>52</v>
      </c>
      <c r="C26" s="119">
        <f>IF(A26="","",0.75)</f>
      </c>
      <c r="D26" s="117"/>
      <c r="H26" s="113"/>
    </row>
    <row r="27" spans="1:10" ht="12.75">
      <c r="A27" s="110">
        <f>IF(AND(Eingabe!$K$17&gt;6,Eingabe!$K$17&lt;14,7.5&lt;=Nachweis!$E$4,Nachweis!$E$4&lt;=16),"Vergütungs","")</f>
      </c>
      <c r="B27" s="111" t="s">
        <v>53</v>
      </c>
      <c r="C27" s="112">
        <f>IF(A27="","",1)</f>
      </c>
      <c r="D27" s="113"/>
      <c r="G27" s="120" t="s">
        <v>74</v>
      </c>
      <c r="H27" s="103">
        <f>SUM(H24:H26)</f>
        <v>0.8786947284833594</v>
      </c>
      <c r="J27" s="47"/>
    </row>
    <row r="28" spans="1:4" ht="12.75">
      <c r="A28" s="17">
        <f>IF(AND(Eingabe!$K$17&gt;6,Eingabe!$K$17&lt;14,16&lt;Nachweis!$E$4,Nachweis!$E$4&lt;300),"Vergütungs","")</f>
      </c>
      <c r="B28" s="39" t="s">
        <v>54</v>
      </c>
      <c r="C28" s="115">
        <f>IF(A28="","",1-0.26*LOG(Nachweis!$E$4/16))</f>
      </c>
      <c r="D28" s="116">
        <f>IF(A28="","",1-0.26*LOG(40/16))</f>
      </c>
    </row>
    <row r="29" spans="1:4" ht="12.75">
      <c r="A29" s="29">
        <f>IF(AND(Eingabe!$K$17&gt;6,Eingabe!$K$17&lt;14,Nachweis!$E$4&gt;=300),"Vergütungs","")</f>
      </c>
      <c r="B29" s="118" t="s">
        <v>52</v>
      </c>
      <c r="C29" s="119">
        <f>IF(A29="","",0.67)</f>
      </c>
      <c r="D29" s="117"/>
    </row>
    <row r="30" spans="1:10" ht="15.75">
      <c r="A30" s="110">
        <f>IF(AND(Eingabe!$K$17&gt;13,7.5&lt;=Nachweis!$E$4,Nachweis!$E$4&lt;=11),"Einsatzstahl","")</f>
      </c>
      <c r="B30" s="111" t="s">
        <v>55</v>
      </c>
      <c r="C30" s="112">
        <f>IF(A30="","",1)</f>
      </c>
      <c r="D30" s="113"/>
      <c r="G30" s="113" t="s">
        <v>136</v>
      </c>
      <c r="H30" s="113" t="s">
        <v>137</v>
      </c>
      <c r="I30" s="16"/>
      <c r="J30" s="16"/>
    </row>
    <row r="31" spans="1:10" ht="12.75">
      <c r="A31" s="17">
        <f>IF(AND(Eingabe!$K$17&gt;13,11&lt;Nachweis!$E$4,Nachweis!$E$4&lt;300),"Einsatzstahl","")</f>
      </c>
      <c r="B31" s="39" t="s">
        <v>56</v>
      </c>
      <c r="C31" s="115">
        <f>IF(A31="","",1-0.41*LOG(Nachweis!$E$4/11))</f>
      </c>
      <c r="D31" s="116">
        <f>IF(A31="","",1-0.41*LOG(Nachweis!$E$4/11))</f>
      </c>
      <c r="F31" s="21" t="s">
        <v>72</v>
      </c>
      <c r="G31" s="113">
        <f>IF(AND(7.5&lt;=Nachweis!E4,Nachweis!E4&lt;150),1-0.26*LOG(Nachweis!B19)*LOG(Nachweis!E4/7.5),"")</f>
        <v>0.9448034504697602</v>
      </c>
      <c r="H31" s="113">
        <f>1-0.26*LOG(Nachweis!B19)*LOG(40/7.5)</f>
        <v>0.9490567524217167</v>
      </c>
      <c r="I31" s="16"/>
      <c r="J31" s="16"/>
    </row>
    <row r="32" spans="1:10" ht="12.75">
      <c r="A32" s="29">
        <f>IF(AND(Eingabe!$K$17&gt;13,Nachweis!$E$4&gt;=300),"Einsatzstahl","")</f>
      </c>
      <c r="B32" s="118" t="s">
        <v>52</v>
      </c>
      <c r="C32" s="119">
        <f>IF(A32="","",0.41)</f>
      </c>
      <c r="D32" s="117"/>
      <c r="F32" s="28" t="s">
        <v>58</v>
      </c>
      <c r="G32" s="117">
        <f>IF(Nachweis!E4&gt;=150,1-0.2*LOG(Nachweis!B19),"")</f>
      </c>
      <c r="H32" s="117"/>
      <c r="I32" s="16"/>
      <c r="J32" s="16"/>
    </row>
    <row r="33" spans="3:8" ht="12.75">
      <c r="C33" s="21"/>
      <c r="D33" s="113"/>
      <c r="G33" s="21"/>
      <c r="H33" s="113"/>
    </row>
    <row r="34" spans="2:8" ht="12.75">
      <c r="B34" s="120" t="s">
        <v>74</v>
      </c>
      <c r="C34" s="92">
        <f>SUM(C24:C32)</f>
        <v>0.9590219581259662</v>
      </c>
      <c r="D34" s="103">
        <f>SUM(D24:D32)</f>
        <v>0.9748033966179054</v>
      </c>
      <c r="F34" s="120" t="s">
        <v>74</v>
      </c>
      <c r="G34" s="92">
        <f>SUM(G31:G33)</f>
        <v>0.9448034504697602</v>
      </c>
      <c r="H34" s="103">
        <f>SUM(H31:H33)</f>
        <v>0.9490567524217167</v>
      </c>
    </row>
    <row r="35" spans="2:4" ht="12.75">
      <c r="B35" s="121"/>
      <c r="C35" s="16"/>
      <c r="D35" s="16"/>
    </row>
    <row r="36" spans="2:4" ht="12.75">
      <c r="B36" s="121"/>
      <c r="C36" s="16"/>
      <c r="D36" s="16"/>
    </row>
    <row r="37" spans="2:4" ht="12.75">
      <c r="B37" s="121"/>
      <c r="C37" s="16"/>
      <c r="D37" s="16"/>
    </row>
    <row r="38" spans="2:4" ht="12.75">
      <c r="B38" s="121"/>
      <c r="C38" s="16"/>
      <c r="D38" s="16"/>
    </row>
    <row r="39" spans="2:4" ht="12.75">
      <c r="B39" s="121"/>
      <c r="C39" s="16"/>
      <c r="D39" s="16"/>
    </row>
    <row r="40" spans="2:4" ht="12.75">
      <c r="B40" s="121"/>
      <c r="C40" s="16"/>
      <c r="D40" s="16"/>
    </row>
    <row r="41" spans="2:4" ht="12.75">
      <c r="B41" s="121"/>
      <c r="C41" s="16"/>
      <c r="D41" s="16"/>
    </row>
    <row r="43" spans="1:7" ht="14.25">
      <c r="A43" s="12" t="s">
        <v>73</v>
      </c>
      <c r="D43" s="12" t="s">
        <v>75</v>
      </c>
      <c r="G43" s="12" t="s">
        <v>76</v>
      </c>
    </row>
    <row r="44" spans="1:8" ht="15.75">
      <c r="A44" s="33" t="s">
        <v>138</v>
      </c>
      <c r="B44" s="12">
        <f>1-0.22*LOG(E6)*(LOG(Eingabe!B17*C34/20)-1)</f>
        <v>0.9583743293422633</v>
      </c>
      <c r="D44" s="33" t="s">
        <v>140</v>
      </c>
      <c r="E44" s="12">
        <f>(Nachweis!B15/Nachweis!H27+1/Nachweis!B44-1)*1/Nachweis!E5</f>
        <v>2.144967446903517</v>
      </c>
      <c r="G44" s="122" t="s">
        <v>142</v>
      </c>
      <c r="H44" s="12">
        <f>Eingabe!G17*Nachweis!C34/Nachweis!E44</f>
        <v>96.12720290685016</v>
      </c>
    </row>
    <row r="45" spans="1:8" ht="15.75">
      <c r="A45" s="33" t="s">
        <v>139</v>
      </c>
      <c r="B45" s="12">
        <f>0.575*B44+0.425</f>
        <v>0.9760652393718015</v>
      </c>
      <c r="D45" s="33" t="s">
        <v>141</v>
      </c>
      <c r="E45" s="12">
        <f>(Nachweis!B16/Nachweis!H27+1/Nachweis!B45-1)*1/Nachweis!E5</f>
        <v>1.390518665823473</v>
      </c>
      <c r="G45" s="122" t="s">
        <v>143</v>
      </c>
      <c r="H45" s="12">
        <f>Eingabe!H17*Nachweis!C34/Nachweis!E45</f>
        <v>86.21081306718993</v>
      </c>
    </row>
    <row r="46" spans="1:7" ht="12.75">
      <c r="A46" s="33"/>
      <c r="D46" s="33"/>
      <c r="G46" s="122"/>
    </row>
    <row r="47" spans="1:7" ht="12.75">
      <c r="A47" s="33"/>
      <c r="D47" s="33"/>
      <c r="G47" s="122"/>
    </row>
    <row r="48" spans="1:7" ht="12.75">
      <c r="A48" s="33"/>
      <c r="D48" s="33"/>
      <c r="G48" s="122"/>
    </row>
    <row r="49" spans="1:7" ht="12.75">
      <c r="A49" s="33"/>
      <c r="D49" s="33"/>
      <c r="G49" s="122"/>
    </row>
    <row r="50" spans="1:7" ht="12.75">
      <c r="A50" s="33"/>
      <c r="D50" s="33"/>
      <c r="G50" s="122"/>
    </row>
    <row r="51" spans="1:7" ht="12.75">
      <c r="A51" s="33"/>
      <c r="D51" s="33"/>
      <c r="G51" s="122"/>
    </row>
    <row r="53" ht="12.75">
      <c r="C53" s="123"/>
    </row>
    <row r="54" spans="1:7" ht="14.25">
      <c r="A54" s="12" t="s">
        <v>77</v>
      </c>
      <c r="D54" s="12" t="s">
        <v>78</v>
      </c>
      <c r="G54" s="12" t="s">
        <v>79</v>
      </c>
    </row>
    <row r="55" spans="1:8" ht="16.5">
      <c r="A55" s="124" t="s">
        <v>160</v>
      </c>
      <c r="B55" s="12">
        <f>H44/(2*C34*Eingabe!B17-Nachweis!H44)</f>
        <v>0.13192838769262977</v>
      </c>
      <c r="D55" s="122" t="s">
        <v>144</v>
      </c>
      <c r="E55" s="12">
        <v>0</v>
      </c>
      <c r="G55" s="122" t="s">
        <v>146</v>
      </c>
      <c r="H55" s="12">
        <f>SQRT(E55^2+3*E56^2)</f>
        <v>38.75315504461994</v>
      </c>
    </row>
    <row r="56" spans="1:8" ht="16.5">
      <c r="A56" s="124" t="s">
        <v>161</v>
      </c>
      <c r="B56" s="12">
        <f>H45/(2*C34*Eingabe!B17-Nachweis!H45)</f>
        <v>0.11673013099833167</v>
      </c>
      <c r="D56" s="122" t="s">
        <v>145</v>
      </c>
      <c r="E56" s="12">
        <f>Eingabe!K6*1000*16/(PI()*Nachweis!E4^3)</f>
        <v>22.374144496958625</v>
      </c>
      <c r="G56" s="122" t="s">
        <v>147</v>
      </c>
      <c r="H56" s="12">
        <f>H55/SQRT(3)</f>
        <v>22.374144496958625</v>
      </c>
    </row>
    <row r="63" spans="1:11" ht="15">
      <c r="A63" s="143" t="s">
        <v>99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5" ht="12.75">
      <c r="A65" s="12" t="s">
        <v>80</v>
      </c>
    </row>
    <row r="66" spans="1:6" ht="15.75">
      <c r="A66" s="12" t="s">
        <v>132</v>
      </c>
      <c r="F66" s="12" t="s">
        <v>83</v>
      </c>
    </row>
    <row r="67" spans="1:8" ht="15.75">
      <c r="A67" s="122" t="s">
        <v>81</v>
      </c>
      <c r="B67" s="125">
        <f>Nachweis!H44-Nachweis!B55*Nachweis!H55</f>
        <v>91.01456164381095</v>
      </c>
      <c r="C67" s="126" t="s">
        <v>108</v>
      </c>
      <c r="F67" s="122" t="s">
        <v>84</v>
      </c>
      <c r="G67" s="125">
        <f>Eingabe!H9*1000*32/(PI()*Nachweis!E4^3)</f>
        <v>36.828569280318334</v>
      </c>
      <c r="H67" s="12" t="s">
        <v>108</v>
      </c>
    </row>
    <row r="68" spans="1:8" ht="15.75">
      <c r="A68" s="122" t="s">
        <v>82</v>
      </c>
      <c r="B68" s="125">
        <f>Nachweis!H45-Nachweis!B56*Nachweis!H56</f>
        <v>83.59907624908435</v>
      </c>
      <c r="C68" s="12" t="s">
        <v>108</v>
      </c>
      <c r="F68" s="122" t="s">
        <v>85</v>
      </c>
      <c r="G68" s="125">
        <f>(Eingabe!K7-Eingabe!K6)*1000*16/(PI()*Nachweis!E4^3)</f>
        <v>4.474828899391722</v>
      </c>
      <c r="H68" s="12" t="s">
        <v>108</v>
      </c>
    </row>
    <row r="70" spans="1:5" ht="12.75">
      <c r="A70" s="12" t="s">
        <v>90</v>
      </c>
      <c r="E70" s="12" t="s">
        <v>94</v>
      </c>
    </row>
    <row r="71" spans="1:7" ht="15.75">
      <c r="A71" s="33" t="s">
        <v>91</v>
      </c>
      <c r="B71" s="125">
        <f>B67/G67</f>
        <v>2.471303214389333</v>
      </c>
      <c r="E71" s="127" t="s">
        <v>95</v>
      </c>
      <c r="F71" s="128" t="s">
        <v>97</v>
      </c>
      <c r="G71" s="129" t="s">
        <v>96</v>
      </c>
    </row>
    <row r="72" spans="1:9" ht="15.75">
      <c r="A72" s="33" t="s">
        <v>92</v>
      </c>
      <c r="B72" s="125">
        <f>B68/G68</f>
        <v>18.682072125807593</v>
      </c>
      <c r="D72" s="33" t="s">
        <v>93</v>
      </c>
      <c r="E72" s="125">
        <f>1/SQRT((1/B71)^2+(1/B72)^2)</f>
        <v>2.449960798162298</v>
      </c>
      <c r="H72" s="33"/>
      <c r="I72" s="33"/>
    </row>
    <row r="73" spans="5:9" ht="12.75">
      <c r="E73" s="141" t="s">
        <v>98</v>
      </c>
      <c r="F73" s="142"/>
      <c r="G73" s="130" t="str">
        <f>IF(E72&gt;=1.2,"i.O.","WARNUNG")</f>
        <v>i.O.</v>
      </c>
      <c r="H73" s="33"/>
      <c r="I73" s="131"/>
    </row>
    <row r="81" spans="1:11" ht="15">
      <c r="A81" s="143" t="s">
        <v>100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</row>
    <row r="83" spans="1:6" ht="15.75">
      <c r="A83" s="12" t="s">
        <v>101</v>
      </c>
      <c r="F83" s="12" t="s">
        <v>104</v>
      </c>
    </row>
    <row r="84" spans="1:7" ht="12.75">
      <c r="A84" s="12" t="s">
        <v>102</v>
      </c>
      <c r="B84" s="7">
        <v>1.2</v>
      </c>
      <c r="F84" s="12" t="s">
        <v>102</v>
      </c>
      <c r="G84" s="132">
        <f>IF(Nachweis!B15&lt;=1.5,1,IF(AND(1.5&lt;Nachweis!B15,Nachweis!B15&lt;=2),1.05,IF(AND(2&lt;Nachweis!B15,Nachweis!B15&lt;=3),1.1,1.15)))</f>
        <v>1.05</v>
      </c>
    </row>
    <row r="85" spans="1:7" ht="12.75">
      <c r="A85" s="12" t="s">
        <v>103</v>
      </c>
      <c r="B85" s="7">
        <v>1.2</v>
      </c>
      <c r="F85" s="12" t="s">
        <v>103</v>
      </c>
      <c r="G85" s="132">
        <v>1</v>
      </c>
    </row>
    <row r="87" spans="1:6" ht="12.75">
      <c r="A87" s="12" t="s">
        <v>105</v>
      </c>
      <c r="F87" s="12" t="s">
        <v>109</v>
      </c>
    </row>
    <row r="88" spans="1:8" ht="15.75">
      <c r="A88" s="122" t="s">
        <v>106</v>
      </c>
      <c r="B88" s="125">
        <f>Nachweis!C34*Nachweis!B84*Nachweis!G84*Eingabe!C17</f>
        <v>332.3011084906473</v>
      </c>
      <c r="C88" s="12" t="s">
        <v>108</v>
      </c>
      <c r="F88" s="122" t="s">
        <v>110</v>
      </c>
      <c r="G88" s="125">
        <f>Eingabe!H9*1000*32/(PI()*Nachweis!E4^3)</f>
        <v>36.828569280318334</v>
      </c>
      <c r="H88" s="12" t="s">
        <v>108</v>
      </c>
    </row>
    <row r="89" spans="1:8" ht="15.75">
      <c r="A89" s="122" t="s">
        <v>107</v>
      </c>
      <c r="B89" s="125">
        <f>Nachweis!C34*Nachweis!B85*Nachweis!G85*Eingabe!C17/SQRT(3)</f>
        <v>182.71822327532027</v>
      </c>
      <c r="C89" s="12" t="s">
        <v>108</v>
      </c>
      <c r="F89" s="122" t="s">
        <v>111</v>
      </c>
      <c r="G89" s="125">
        <f>Eingabe!K7*1000*16/(PI()*Nachweis!E4^3)</f>
        <v>26.848973396350345</v>
      </c>
      <c r="H89" s="12" t="s">
        <v>108</v>
      </c>
    </row>
    <row r="91" spans="1:5" ht="12.75">
      <c r="A91" s="12" t="s">
        <v>90</v>
      </c>
      <c r="E91" s="12" t="s">
        <v>94</v>
      </c>
    </row>
    <row r="92" spans="1:7" ht="15.75">
      <c r="A92" s="33" t="s">
        <v>91</v>
      </c>
      <c r="B92" s="125">
        <f>B88/G88</f>
        <v>9.022916583084138</v>
      </c>
      <c r="E92" s="127" t="s">
        <v>95</v>
      </c>
      <c r="F92" s="128" t="s">
        <v>97</v>
      </c>
      <c r="G92" s="129" t="s">
        <v>96</v>
      </c>
    </row>
    <row r="93" spans="1:9" ht="15.75">
      <c r="A93" s="33" t="s">
        <v>92</v>
      </c>
      <c r="B93" s="125">
        <f>B89/G89</f>
        <v>6.8054081836945635</v>
      </c>
      <c r="D93" s="33" t="s">
        <v>93</v>
      </c>
      <c r="E93" s="125">
        <f>1/SQRT((1/B92)^2+(1/B93)^2)</f>
        <v>5.433259378584615</v>
      </c>
      <c r="H93" s="33"/>
      <c r="I93" s="33"/>
    </row>
    <row r="94" spans="5:9" ht="12.75">
      <c r="E94" s="141" t="s">
        <v>159</v>
      </c>
      <c r="F94" s="142"/>
      <c r="G94" s="130" t="str">
        <f>IF(E93&gt;=1.2,"i.O.","WARNUNG")</f>
        <v>i.O.</v>
      </c>
      <c r="H94" s="33"/>
      <c r="I94" s="131"/>
    </row>
  </sheetData>
  <sheetProtection password="C9B6" sheet="1" objects="1" scenarios="1"/>
  <mergeCells count="6">
    <mergeCell ref="A8:J9"/>
    <mergeCell ref="F24:F25"/>
    <mergeCell ref="E73:F73"/>
    <mergeCell ref="E94:F94"/>
    <mergeCell ref="A63:K63"/>
    <mergeCell ref="A81:K81"/>
  </mergeCells>
  <conditionalFormatting sqref="G73">
    <cfRule type="cellIs" priority="1" dxfId="0" operator="equal" stopIfTrue="1">
      <formula>"WARNUNG"</formula>
    </cfRule>
    <cfRule type="cellIs" priority="2" dxfId="1" operator="equal" stopIfTrue="1">
      <formula>"i.O."</formula>
    </cfRule>
  </conditionalFormatting>
  <conditionalFormatting sqref="G94">
    <cfRule type="cellIs" priority="3" dxfId="0" operator="equal" stopIfTrue="1">
      <formula>"WARNUNG"</formula>
    </cfRule>
    <cfRule type="cellIs" priority="4" dxfId="1" operator="equal" stopIfTrue="1">
      <formula>"i.O."</formula>
    </cfRule>
  </conditionalFormatting>
  <printOptions/>
  <pageMargins left="0.75" right="0.75" top="1" bottom="1" header="0.4921259845" footer="0.4921259845"/>
  <pageSetup orientation="landscape" paperSize="9" scale="96" r:id="rId1"/>
  <headerFooter alignWithMargins="0">
    <oddHeader>&amp;LAlexander Reichert
VUT 03&amp;CPassfeder</oddHeader>
    <oddFooter>&amp;C- &amp;P -</oddFooter>
  </headerFooter>
  <rowBreaks count="2" manualBreakCount="2">
    <brk id="36" max="10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14" sqref="B14"/>
    </sheetView>
  </sheetViews>
  <sheetFormatPr defaultColWidth="11.421875" defaultRowHeight="12.75"/>
  <cols>
    <col min="1" max="16384" width="11.421875" style="12" customWidth="1"/>
  </cols>
  <sheetData>
    <row r="1" spans="1:2" ht="12.75" customHeight="1">
      <c r="A1" s="91"/>
      <c r="B1" s="13" t="s">
        <v>125</v>
      </c>
    </row>
    <row r="4" ht="12.75">
      <c r="A4" s="12" t="s">
        <v>195</v>
      </c>
    </row>
    <row r="5" spans="1:2" ht="12.75">
      <c r="A5" s="21" t="s">
        <v>196</v>
      </c>
      <c r="B5" s="65">
        <v>14</v>
      </c>
    </row>
    <row r="6" spans="1:2" ht="12.75">
      <c r="A6" s="24" t="s">
        <v>197</v>
      </c>
      <c r="B6" s="8">
        <v>9</v>
      </c>
    </row>
    <row r="7" spans="1:2" ht="15.75">
      <c r="A7" s="24" t="s">
        <v>198</v>
      </c>
      <c r="B7" s="8">
        <v>5.5</v>
      </c>
    </row>
    <row r="8" spans="1:2" ht="15.75">
      <c r="A8" s="28" t="s">
        <v>199</v>
      </c>
      <c r="B8" s="9">
        <v>3.8</v>
      </c>
    </row>
    <row r="9" ht="12.75">
      <c r="B9" s="15"/>
    </row>
    <row r="10" spans="1:2" ht="12.75">
      <c r="A10" s="92" t="s">
        <v>170</v>
      </c>
      <c r="B10" s="90" t="s">
        <v>6</v>
      </c>
    </row>
    <row r="11" spans="1:2" ht="12.75">
      <c r="A11" s="24"/>
      <c r="B11" s="18"/>
    </row>
    <row r="12" spans="1:2" ht="12.75">
      <c r="A12" s="24" t="s">
        <v>200</v>
      </c>
      <c r="B12" s="18">
        <f>IF(ISBLANK($B10),"",VLOOKUP($B10,Werkst!$A1:$O18,5,FALSE))</f>
        <v>275</v>
      </c>
    </row>
    <row r="13" spans="1:2" ht="15.75">
      <c r="A13" s="24" t="s">
        <v>202</v>
      </c>
      <c r="B13" s="18">
        <f>B12/Eingabe!B14</f>
        <v>137.5</v>
      </c>
    </row>
    <row r="14" spans="1:2" ht="15.75">
      <c r="A14" s="24" t="s">
        <v>203</v>
      </c>
      <c r="B14" s="18">
        <f>2*Eingabe!K7*1000/B7/Nachweis!E4/B13</f>
        <v>29.50107529188409</v>
      </c>
    </row>
    <row r="15" spans="1:2" ht="15.75">
      <c r="A15" s="24" t="s">
        <v>204</v>
      </c>
      <c r="B15" s="18">
        <f>2*Eingabe!K7*1000/B8/Nachweis!E4/B13</f>
        <v>42.69892476456908</v>
      </c>
    </row>
    <row r="16" spans="1:2" ht="12.75">
      <c r="A16" s="24"/>
      <c r="B16" s="18"/>
    </row>
    <row r="17" spans="1:2" ht="15.75">
      <c r="A17" s="24" t="s">
        <v>205</v>
      </c>
      <c r="B17" s="18">
        <f>MAX(B14:B15)</f>
        <v>42.69892476456908</v>
      </c>
    </row>
    <row r="18" spans="1:2" ht="12.75">
      <c r="A18" s="28" t="s">
        <v>201</v>
      </c>
      <c r="B18" s="30">
        <f>B17+B5</f>
        <v>56.69892476456908</v>
      </c>
    </row>
    <row r="19" ht="12.75">
      <c r="B19" s="15"/>
    </row>
    <row r="20" spans="1:2" ht="15.75">
      <c r="A20" s="92" t="s">
        <v>171</v>
      </c>
      <c r="B20" s="60">
        <v>63</v>
      </c>
    </row>
    <row r="21" ht="12.75">
      <c r="B21" s="15"/>
    </row>
    <row r="22" ht="12.75">
      <c r="B22" s="15"/>
    </row>
    <row r="23" ht="12.75">
      <c r="B23" s="15"/>
    </row>
    <row r="24" ht="12.75">
      <c r="B24" s="15"/>
    </row>
    <row r="25" ht="12.75">
      <c r="B25" s="15"/>
    </row>
  </sheetData>
  <sheetProtection password="C9B6"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0" sqref="B10"/>
    </sheetView>
  </sheetViews>
  <sheetFormatPr defaultColWidth="11.421875" defaultRowHeight="12.75"/>
  <sheetData>
    <row r="1" ht="12.75">
      <c r="B1" s="13" t="s">
        <v>125</v>
      </c>
    </row>
    <row r="5" ht="12.75">
      <c r="A5" s="67" t="s">
        <v>188</v>
      </c>
    </row>
    <row r="6" spans="1:2" ht="12.75">
      <c r="A6" s="84" t="s">
        <v>170</v>
      </c>
      <c r="B6" s="93" t="s">
        <v>10</v>
      </c>
    </row>
    <row r="7" spans="1:2" ht="15.75">
      <c r="A7" s="63" t="s">
        <v>209</v>
      </c>
      <c r="B7" s="9">
        <v>30</v>
      </c>
    </row>
    <row r="8" spans="1:2" ht="12.75">
      <c r="A8" s="85" t="s">
        <v>206</v>
      </c>
      <c r="B8" s="64">
        <f>IF(ISBLANK($B6),"",VLOOKUP($B6,Werkst!$A1:$O18,4,FALSE))</f>
        <v>690</v>
      </c>
    </row>
    <row r="9" spans="1:2" ht="15.75">
      <c r="A9" s="86" t="s">
        <v>207</v>
      </c>
      <c r="B9" s="70">
        <f>B8*0.8</f>
        <v>552</v>
      </c>
    </row>
    <row r="10" spans="1:2" ht="15.75">
      <c r="A10" s="72" t="s">
        <v>208</v>
      </c>
      <c r="B10" s="73">
        <f>SQRT(Eingabe!K7*1000*4/B7/PI()/B9)</f>
        <v>6.281168266835693</v>
      </c>
    </row>
  </sheetData>
  <sheetProtection password="C9B6" sheet="1" objects="1" scenarios="1"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11.421875" defaultRowHeight="12.75"/>
  <sheetData>
    <row r="1" ht="12.75">
      <c r="B1" s="13" t="s">
        <v>125</v>
      </c>
    </row>
    <row r="2" spans="2:4" ht="12.75">
      <c r="B2" s="89"/>
      <c r="D2" s="67" t="s">
        <v>194</v>
      </c>
    </row>
    <row r="3" s="67" customFormat="1" ht="12.75"/>
    <row r="4" spans="3:6" ht="12.75">
      <c r="C4" s="67"/>
      <c r="D4" s="67"/>
      <c r="E4" s="67"/>
      <c r="F4" s="67"/>
    </row>
    <row r="5" spans="1:8" ht="12.75">
      <c r="A5" s="67" t="s">
        <v>176</v>
      </c>
      <c r="B5" s="145">
        <v>6304</v>
      </c>
      <c r="G5" s="67" t="s">
        <v>177</v>
      </c>
      <c r="H5" s="145">
        <v>6209</v>
      </c>
    </row>
    <row r="6" spans="1:8" ht="15.75">
      <c r="A6" s="61" t="s">
        <v>189</v>
      </c>
      <c r="B6" s="65">
        <v>12.4</v>
      </c>
      <c r="G6" s="61" t="s">
        <v>189</v>
      </c>
      <c r="H6" s="65">
        <v>14.3</v>
      </c>
    </row>
    <row r="7" spans="1:9" ht="15.75">
      <c r="A7" s="62" t="s">
        <v>213</v>
      </c>
      <c r="B7" s="8">
        <v>20</v>
      </c>
      <c r="G7" s="62" t="s">
        <v>213</v>
      </c>
      <c r="H7" s="8">
        <v>45</v>
      </c>
      <c r="I7" t="s">
        <v>178</v>
      </c>
    </row>
    <row r="8" spans="1:9" ht="15.75">
      <c r="A8" s="62" t="s">
        <v>214</v>
      </c>
      <c r="B8" s="8">
        <v>16000</v>
      </c>
      <c r="G8" s="62" t="s">
        <v>214</v>
      </c>
      <c r="H8" s="8">
        <v>31000</v>
      </c>
      <c r="I8" t="s">
        <v>179</v>
      </c>
    </row>
    <row r="9" spans="1:9" ht="15.75">
      <c r="A9" s="62" t="s">
        <v>215</v>
      </c>
      <c r="B9" s="8">
        <v>7800</v>
      </c>
      <c r="G9" s="62" t="s">
        <v>215</v>
      </c>
      <c r="H9" s="8">
        <v>20400</v>
      </c>
      <c r="I9" t="s">
        <v>179</v>
      </c>
    </row>
    <row r="10" spans="1:9" ht="12.75">
      <c r="A10" s="62" t="s">
        <v>210</v>
      </c>
      <c r="B10" s="68">
        <f>Eingabe!K10</f>
        <v>480.77551214609133</v>
      </c>
      <c r="C10" s="69"/>
      <c r="G10" s="62" t="s">
        <v>211</v>
      </c>
      <c r="H10" s="68">
        <f>SQRT(Eingabe!E9^2+Eingabe!E10^2)</f>
        <v>2346.2105214817107</v>
      </c>
      <c r="I10" t="s">
        <v>179</v>
      </c>
    </row>
    <row r="11" spans="1:9" ht="14.25">
      <c r="A11" s="62" t="s">
        <v>211</v>
      </c>
      <c r="B11" s="68">
        <f>SQRT(Eingabe!E6^2+Eingabe!E7^2)</f>
        <v>1315.474095517763</v>
      </c>
      <c r="C11" s="69"/>
      <c r="G11" s="72" t="s">
        <v>212</v>
      </c>
      <c r="H11" s="73">
        <f>B14</f>
        <v>335</v>
      </c>
      <c r="I11" t="s">
        <v>181</v>
      </c>
    </row>
    <row r="12" spans="1:2" ht="12.75">
      <c r="A12" s="62" t="s">
        <v>180</v>
      </c>
      <c r="B12" s="70">
        <f>B10/B11</f>
        <v>0.3654769894627692</v>
      </c>
    </row>
    <row r="13" spans="1:5" ht="15.75">
      <c r="A13" s="71" t="s">
        <v>190</v>
      </c>
      <c r="B13" s="70">
        <f>B6*B10/B9</f>
        <v>0.7643097885399401</v>
      </c>
      <c r="E13" s="67"/>
    </row>
    <row r="14" spans="1:5" ht="14.25">
      <c r="A14" s="72" t="s">
        <v>212</v>
      </c>
      <c r="B14" s="73">
        <f>Eingabe!B7</f>
        <v>335</v>
      </c>
      <c r="E14" s="67"/>
    </row>
    <row r="15" ht="12.75">
      <c r="E15" s="67"/>
    </row>
    <row r="16" spans="1:5" ht="15.75">
      <c r="A16" s="74" t="s">
        <v>190</v>
      </c>
      <c r="B16" s="75" t="s">
        <v>182</v>
      </c>
      <c r="C16" s="75" t="s">
        <v>191</v>
      </c>
      <c r="D16" s="76" t="s">
        <v>183</v>
      </c>
      <c r="E16" s="87" t="s">
        <v>192</v>
      </c>
    </row>
    <row r="17" spans="1:5" ht="12.75">
      <c r="A17" s="85">
        <v>0.3</v>
      </c>
      <c r="B17" s="83">
        <v>0.22</v>
      </c>
      <c r="C17" s="83">
        <f>IF(AND($B$13&lt;A18,$B$13&gt;A17),(B18-B17)/(A18-A17)*($B$13-A17)+B17,"")</f>
      </c>
      <c r="D17" s="83">
        <v>2</v>
      </c>
      <c r="E17" s="79">
        <f>IF(AND($B$13&lt;A18,$B$13&gt;A17),D17-($B$13-A17)/(A18-A17)*(D17-D18),"")</f>
      </c>
    </row>
    <row r="18" spans="1:5" ht="12.75">
      <c r="A18" s="85">
        <v>0.5</v>
      </c>
      <c r="B18" s="83">
        <v>0.24</v>
      </c>
      <c r="C18" s="83">
        <f>IF(AND($B$13&lt;A19,$B$13&gt;A18),(B19-B18)/(A19-A18)*($B$13-A18)+B18,"")</f>
        <v>0.266430978853994</v>
      </c>
      <c r="D18" s="83">
        <v>1.8</v>
      </c>
      <c r="E18" s="79">
        <f>IF(AND($B$13&lt;A19,$B$13&gt;A18),D18-($B$13-A18)/(A19-A18)*(D18-D19),"")</f>
        <v>1.654629616303033</v>
      </c>
    </row>
    <row r="19" spans="1:5" ht="12.75">
      <c r="A19" s="85">
        <v>0.9</v>
      </c>
      <c r="B19" s="83">
        <v>0.28</v>
      </c>
      <c r="C19" s="83">
        <f>IF(AND($B$13&lt;A20,$B$13&gt;A19),(B20-B19)/(A20-A19)*($B$13-A19)+B19,"")</f>
      </c>
      <c r="D19" s="83">
        <v>1.58</v>
      </c>
      <c r="E19" s="79">
        <f>IF(AND($B$13&lt;A20,$B$13&gt;A19),D19-($B$13-A19)/(A20-A19)*(D19-D20),"")</f>
      </c>
    </row>
    <row r="20" spans="1:5" ht="12.75">
      <c r="A20" s="85">
        <v>1.6</v>
      </c>
      <c r="B20" s="83">
        <v>0.32</v>
      </c>
      <c r="C20" s="83">
        <f>IF(AND($B$13&lt;A21,$B$13&gt;A20),(B21-B20)/(A21-A20)*($B$13-A20)+B20,"")</f>
      </c>
      <c r="D20" s="83">
        <v>1.4</v>
      </c>
      <c r="E20" s="79">
        <f>IF(AND($B$13&lt;A21,$B$13&gt;A20),D20-($B$13-A20)/(A21-A20)*(D20-D21),"")</f>
      </c>
    </row>
    <row r="21" spans="1:9" ht="12.75">
      <c r="A21" s="85">
        <v>3</v>
      </c>
      <c r="B21" s="83">
        <v>0.36</v>
      </c>
      <c r="C21" s="83">
        <f>IF(AND($B$13&lt;A22,$B$13&gt;A21),(B22-B21)/(A22-A21)*($B$13-A21)+B21,"")</f>
      </c>
      <c r="D21" s="83">
        <v>1.2</v>
      </c>
      <c r="E21" s="79">
        <f>IF(AND($B$13&lt;A22,$B$13&gt;A21),D21-($B$13-A21)/(A22-A21)*(D21-D22),"")</f>
      </c>
      <c r="G21" s="83"/>
      <c r="H21" s="83"/>
      <c r="I21" s="78"/>
    </row>
    <row r="22" spans="1:9" ht="12.75">
      <c r="A22" s="85">
        <v>6</v>
      </c>
      <c r="B22" s="83">
        <v>0.43</v>
      </c>
      <c r="C22" s="83"/>
      <c r="D22" s="83">
        <v>1</v>
      </c>
      <c r="E22" s="79"/>
      <c r="G22" s="83"/>
      <c r="H22" s="83"/>
      <c r="I22" s="78"/>
    </row>
    <row r="23" spans="1:9" ht="12.75">
      <c r="A23" s="62"/>
      <c r="B23" s="78"/>
      <c r="C23" s="78"/>
      <c r="D23" s="78"/>
      <c r="E23" s="79"/>
      <c r="G23" s="78"/>
      <c r="H23" s="78"/>
      <c r="I23" s="78"/>
    </row>
    <row r="24" spans="1:9" ht="12.75">
      <c r="A24" s="63" t="s">
        <v>184</v>
      </c>
      <c r="B24" s="80"/>
      <c r="C24" s="80">
        <f>SUM(C17:C22)</f>
        <v>0.266430978853994</v>
      </c>
      <c r="D24" s="80"/>
      <c r="E24" s="81">
        <f>SUM(E17:E22)</f>
        <v>1.654629616303033</v>
      </c>
      <c r="G24" s="78"/>
      <c r="H24" s="78"/>
      <c r="I24" s="78"/>
    </row>
    <row r="25" ht="12.75">
      <c r="E25" s="67"/>
    </row>
    <row r="26" spans="1:9" ht="12.75">
      <c r="A26" s="61" t="s">
        <v>216</v>
      </c>
      <c r="B26" s="76">
        <f>IF(B12&lt;=C24,B11,0.56*B11+E24*B10)</f>
        <v>1532.1708946801286</v>
      </c>
      <c r="C26" s="77"/>
      <c r="E26" s="67"/>
      <c r="G26" s="61" t="s">
        <v>216</v>
      </c>
      <c r="H26" s="146">
        <f>H10</f>
        <v>2346.2105214817107</v>
      </c>
      <c r="I26" s="77" t="s">
        <v>179</v>
      </c>
    </row>
    <row r="27" spans="1:9" ht="15.75">
      <c r="A27" s="62" t="s">
        <v>193</v>
      </c>
      <c r="B27" s="78">
        <f>(B8/B26)^3*10^6</f>
        <v>1138776046.581358</v>
      </c>
      <c r="C27" s="70"/>
      <c r="G27" s="62" t="s">
        <v>193</v>
      </c>
      <c r="H27" s="78">
        <f>(H8/H26)^3*10^6</f>
        <v>2306662989.474516</v>
      </c>
      <c r="I27" s="70"/>
    </row>
    <row r="28" spans="1:9" ht="15.75">
      <c r="A28" s="62" t="s">
        <v>217</v>
      </c>
      <c r="B28" s="78">
        <f>B27/B14/60</f>
        <v>56655.52470554019</v>
      </c>
      <c r="C28" s="70"/>
      <c r="G28" s="62" t="s">
        <v>217</v>
      </c>
      <c r="H28" s="78">
        <f>H27/H11/60</f>
        <v>114759.35271017492</v>
      </c>
      <c r="I28" s="70" t="s">
        <v>185</v>
      </c>
    </row>
    <row r="29" spans="1:9" ht="12.75">
      <c r="A29" s="62"/>
      <c r="B29" s="78"/>
      <c r="C29" s="70"/>
      <c r="G29" s="62"/>
      <c r="H29" s="78"/>
      <c r="I29" s="70"/>
    </row>
    <row r="30" spans="1:9" ht="12.75">
      <c r="A30" s="63" t="s">
        <v>186</v>
      </c>
      <c r="B30" s="88">
        <f>B28/24/365</f>
        <v>6.467525651317374</v>
      </c>
      <c r="C30" s="73" t="s">
        <v>187</v>
      </c>
      <c r="F30" s="82"/>
      <c r="G30" s="63" t="s">
        <v>186</v>
      </c>
      <c r="H30" s="88">
        <f>H28/24/365</f>
        <v>13.100382729472022</v>
      </c>
      <c r="I30" s="73" t="s">
        <v>187</v>
      </c>
    </row>
  </sheetData>
  <sheetProtection password="C9B6" sheet="1" objects="1" scenarios="1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A1">
      <selection activeCell="D4" sqref="D4"/>
    </sheetView>
  </sheetViews>
  <sheetFormatPr defaultColWidth="11.421875" defaultRowHeight="12.75"/>
  <cols>
    <col min="1" max="1" width="11.140625" style="67" customWidth="1"/>
    <col min="2" max="23" width="5.7109375" style="67" customWidth="1"/>
    <col min="24" max="16384" width="11.421875" style="67" customWidth="1"/>
  </cols>
  <sheetData>
    <row r="1" spans="1:21" ht="12.75">
      <c r="A1" s="66"/>
      <c r="B1" s="66">
        <v>1</v>
      </c>
      <c r="C1" s="66">
        <v>2</v>
      </c>
      <c r="D1" s="66">
        <v>3</v>
      </c>
      <c r="E1" s="66">
        <v>4</v>
      </c>
      <c r="F1" s="66">
        <v>5</v>
      </c>
      <c r="G1" s="66">
        <v>6</v>
      </c>
      <c r="H1" s="66">
        <v>7</v>
      </c>
      <c r="I1" s="66">
        <v>8</v>
      </c>
      <c r="J1" s="66">
        <v>9</v>
      </c>
      <c r="K1" s="66">
        <v>10</v>
      </c>
      <c r="L1" s="66">
        <v>11</v>
      </c>
      <c r="M1" s="66">
        <v>12</v>
      </c>
      <c r="N1" s="66">
        <v>13</v>
      </c>
      <c r="O1" s="66">
        <v>14</v>
      </c>
      <c r="P1" s="66">
        <v>15</v>
      </c>
      <c r="Q1" s="66">
        <v>16</v>
      </c>
      <c r="R1" s="66">
        <v>17</v>
      </c>
      <c r="S1" s="66">
        <v>18</v>
      </c>
      <c r="T1" s="66">
        <v>19</v>
      </c>
      <c r="U1" s="66">
        <v>20</v>
      </c>
    </row>
    <row r="2" spans="1:21" ht="15.75">
      <c r="A2" s="66" t="s">
        <v>172</v>
      </c>
      <c r="B2" s="66">
        <v>25</v>
      </c>
      <c r="C2" s="66">
        <v>25</v>
      </c>
      <c r="D2" s="66">
        <v>25</v>
      </c>
      <c r="E2" s="66">
        <v>25</v>
      </c>
      <c r="F2" s="66">
        <v>25</v>
      </c>
      <c r="G2" s="66">
        <v>25</v>
      </c>
      <c r="H2" s="66">
        <v>25</v>
      </c>
      <c r="I2" s="66">
        <v>25</v>
      </c>
      <c r="J2" s="66">
        <v>25</v>
      </c>
      <c r="K2" s="66">
        <v>25</v>
      </c>
      <c r="L2" s="66">
        <v>25</v>
      </c>
      <c r="M2" s="66">
        <v>15</v>
      </c>
      <c r="N2" s="66">
        <v>15</v>
      </c>
      <c r="O2" s="66">
        <v>15</v>
      </c>
      <c r="P2" s="66">
        <v>15</v>
      </c>
      <c r="Q2" s="66">
        <v>15</v>
      </c>
      <c r="R2" s="66">
        <v>15</v>
      </c>
      <c r="S2" s="66">
        <v>15</v>
      </c>
      <c r="T2" s="66">
        <v>15</v>
      </c>
      <c r="U2" s="66">
        <v>15</v>
      </c>
    </row>
    <row r="3" spans="1:21" ht="12.75">
      <c r="A3" s="66" t="s">
        <v>60</v>
      </c>
      <c r="B3" s="66">
        <v>300</v>
      </c>
      <c r="C3" s="66">
        <v>335</v>
      </c>
      <c r="D3" s="66">
        <v>375</v>
      </c>
      <c r="E3" s="66">
        <v>425</v>
      </c>
      <c r="F3" s="66">
        <v>530</v>
      </c>
      <c r="G3" s="66">
        <v>560</v>
      </c>
      <c r="H3" s="66">
        <v>560</v>
      </c>
      <c r="I3" s="66">
        <v>600</v>
      </c>
      <c r="J3" s="66">
        <v>630</v>
      </c>
      <c r="K3" s="66">
        <v>710</v>
      </c>
      <c r="L3" s="66">
        <v>750</v>
      </c>
      <c r="M3" s="66">
        <v>300</v>
      </c>
      <c r="N3" s="66">
        <v>335</v>
      </c>
      <c r="O3" s="66">
        <v>375</v>
      </c>
      <c r="P3" s="66">
        <v>425</v>
      </c>
      <c r="Q3" s="66">
        <v>475</v>
      </c>
      <c r="R3" s="66">
        <v>530</v>
      </c>
      <c r="S3" s="66">
        <v>560</v>
      </c>
      <c r="T3" s="66">
        <v>600</v>
      </c>
      <c r="U3" s="66">
        <v>360</v>
      </c>
    </row>
    <row r="4" spans="1:21" ht="15.75">
      <c r="A4" s="66" t="s">
        <v>173</v>
      </c>
      <c r="B4" s="66">
        <v>500</v>
      </c>
      <c r="C4" s="66">
        <v>500</v>
      </c>
      <c r="D4" s="66">
        <v>500</v>
      </c>
      <c r="E4" s="66">
        <v>400</v>
      </c>
      <c r="F4" s="66">
        <v>400</v>
      </c>
      <c r="G4" s="66">
        <v>400</v>
      </c>
      <c r="H4" s="66">
        <v>400</v>
      </c>
      <c r="I4" s="66">
        <v>350</v>
      </c>
      <c r="J4" s="66">
        <v>350</v>
      </c>
      <c r="K4" s="66">
        <v>350</v>
      </c>
      <c r="L4" s="66">
        <v>350</v>
      </c>
      <c r="M4" s="66">
        <v>300</v>
      </c>
      <c r="N4" s="66">
        <v>300</v>
      </c>
      <c r="O4" s="66">
        <v>300</v>
      </c>
      <c r="P4" s="66">
        <v>250</v>
      </c>
      <c r="Q4" s="66">
        <v>250</v>
      </c>
      <c r="R4" s="66">
        <v>250</v>
      </c>
      <c r="S4" s="66">
        <v>250</v>
      </c>
      <c r="T4" s="66">
        <v>200</v>
      </c>
      <c r="U4" s="66">
        <v>200</v>
      </c>
    </row>
    <row r="5" spans="1:21" ht="15.75">
      <c r="A5" s="66" t="s">
        <v>174</v>
      </c>
      <c r="B5" s="66">
        <v>500</v>
      </c>
      <c r="C5" s="66">
        <v>500</v>
      </c>
      <c r="D5" s="66">
        <v>500</v>
      </c>
      <c r="E5" s="66">
        <v>500</v>
      </c>
      <c r="F5" s="66">
        <v>500</v>
      </c>
      <c r="G5" s="66">
        <v>500</v>
      </c>
      <c r="H5" s="66">
        <v>500</v>
      </c>
      <c r="I5" s="66">
        <v>350</v>
      </c>
      <c r="J5" s="66">
        <v>350</v>
      </c>
      <c r="K5" s="66">
        <v>350</v>
      </c>
      <c r="L5" s="66">
        <v>350</v>
      </c>
      <c r="M5" s="66">
        <v>400</v>
      </c>
      <c r="N5" s="66">
        <v>400</v>
      </c>
      <c r="O5" s="66">
        <v>400</v>
      </c>
      <c r="P5" s="66">
        <v>400</v>
      </c>
      <c r="Q5" s="66">
        <v>400</v>
      </c>
      <c r="R5" s="66">
        <v>300</v>
      </c>
      <c r="S5" s="66">
        <v>300</v>
      </c>
      <c r="T5" s="66">
        <v>300</v>
      </c>
      <c r="U5" s="66">
        <v>300</v>
      </c>
    </row>
    <row r="6" spans="1:21" ht="15.75">
      <c r="A6" s="66" t="s">
        <v>175</v>
      </c>
      <c r="B6" s="66">
        <v>200</v>
      </c>
      <c r="C6" s="66">
        <v>200</v>
      </c>
      <c r="D6" s="66">
        <v>200</v>
      </c>
      <c r="E6" s="66">
        <v>200</v>
      </c>
      <c r="F6" s="66">
        <v>200</v>
      </c>
      <c r="G6" s="66">
        <v>200</v>
      </c>
      <c r="H6" s="66">
        <v>200</v>
      </c>
      <c r="I6" s="66">
        <v>150</v>
      </c>
      <c r="J6" s="66">
        <v>150</v>
      </c>
      <c r="K6" s="66">
        <v>150</v>
      </c>
      <c r="L6" s="66">
        <v>150</v>
      </c>
      <c r="M6" s="66">
        <v>250</v>
      </c>
      <c r="N6" s="66">
        <v>250</v>
      </c>
      <c r="O6" s="66">
        <v>250</v>
      </c>
      <c r="P6" s="66">
        <v>250</v>
      </c>
      <c r="Q6" s="66">
        <v>250</v>
      </c>
      <c r="R6" s="66">
        <v>150</v>
      </c>
      <c r="S6" s="66">
        <v>150</v>
      </c>
      <c r="T6" s="66">
        <v>150</v>
      </c>
      <c r="U6" s="66">
        <v>150</v>
      </c>
    </row>
  </sheetData>
  <sheetProtection password="C9B6" sheet="1" objects="1" scenarios="1"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0" bestFit="1" customWidth="1"/>
    <col min="2" max="2" width="6.57421875" style="0" bestFit="1" customWidth="1"/>
    <col min="3" max="3" width="10.140625" style="0" bestFit="1" customWidth="1"/>
    <col min="4" max="5" width="5.00390625" style="0" bestFit="1" customWidth="1"/>
    <col min="6" max="6" width="5.8515625" style="0" bestFit="1" customWidth="1"/>
    <col min="7" max="7" width="5.28125" style="0" bestFit="1" customWidth="1"/>
    <col min="8" max="8" width="7.57421875" style="0" bestFit="1" customWidth="1"/>
    <col min="9" max="9" width="6.57421875" style="0" bestFit="1" customWidth="1"/>
    <col min="10" max="10" width="6.00390625" style="0" bestFit="1" customWidth="1"/>
    <col min="11" max="11" width="9.00390625" style="0" bestFit="1" customWidth="1"/>
    <col min="12" max="12" width="8.00390625" style="0" bestFit="1" customWidth="1"/>
    <col min="13" max="13" width="7.421875" style="0" bestFit="1" customWidth="1"/>
    <col min="14" max="14" width="4.57421875" style="0" bestFit="1" customWidth="1"/>
    <col min="15" max="15" width="6.8515625" style="0" bestFit="1" customWidth="1"/>
    <col min="16" max="16" width="5.421875" style="0" bestFit="1" customWidth="1"/>
  </cols>
  <sheetData>
    <row r="1" spans="1:16" ht="15.75">
      <c r="A1" s="1" t="s">
        <v>0</v>
      </c>
      <c r="B1" s="1" t="s">
        <v>1</v>
      </c>
      <c r="C1" s="1" t="s">
        <v>2</v>
      </c>
      <c r="D1" s="2" t="s">
        <v>113</v>
      </c>
      <c r="E1" s="2" t="s">
        <v>114</v>
      </c>
      <c r="F1" s="4" t="s">
        <v>115</v>
      </c>
      <c r="G1" s="4" t="s">
        <v>116</v>
      </c>
      <c r="H1" s="4" t="s">
        <v>117</v>
      </c>
      <c r="I1" s="4" t="s">
        <v>118</v>
      </c>
      <c r="J1" s="4" t="s">
        <v>119</v>
      </c>
      <c r="K1" s="4" t="s">
        <v>122</v>
      </c>
      <c r="L1" s="4" t="s">
        <v>123</v>
      </c>
      <c r="M1" s="4" t="s">
        <v>124</v>
      </c>
      <c r="N1" s="5" t="s">
        <v>3</v>
      </c>
      <c r="O1" s="5" t="s">
        <v>4</v>
      </c>
      <c r="P1" s="5" t="s">
        <v>49</v>
      </c>
    </row>
    <row r="2" spans="1:16" ht="12.75">
      <c r="A2" s="6" t="s">
        <v>5</v>
      </c>
      <c r="B2" s="6" t="s">
        <v>22</v>
      </c>
      <c r="C2" s="6" t="s">
        <v>39</v>
      </c>
      <c r="D2" s="1">
        <v>360</v>
      </c>
      <c r="E2" s="1">
        <v>235</v>
      </c>
      <c r="F2" s="1">
        <v>255</v>
      </c>
      <c r="G2" s="1">
        <v>165</v>
      </c>
      <c r="H2" s="1">
        <v>140</v>
      </c>
      <c r="I2" s="1">
        <v>180</v>
      </c>
      <c r="J2" s="1">
        <v>105</v>
      </c>
      <c r="K2" s="1">
        <v>225</v>
      </c>
      <c r="L2" s="1">
        <v>270</v>
      </c>
      <c r="M2" s="1">
        <v>160</v>
      </c>
      <c r="N2" s="1">
        <v>26</v>
      </c>
      <c r="O2" s="3">
        <v>1</v>
      </c>
      <c r="P2" s="1">
        <v>1</v>
      </c>
    </row>
    <row r="3" spans="1:16" ht="12.75">
      <c r="A3" s="6" t="s">
        <v>6</v>
      </c>
      <c r="B3" s="6" t="s">
        <v>23</v>
      </c>
      <c r="C3" s="6" t="s">
        <v>40</v>
      </c>
      <c r="D3" s="1">
        <v>430</v>
      </c>
      <c r="E3" s="1">
        <v>275</v>
      </c>
      <c r="F3" s="1">
        <v>300</v>
      </c>
      <c r="G3" s="1">
        <v>195</v>
      </c>
      <c r="H3" s="1">
        <v>170</v>
      </c>
      <c r="I3" s="1">
        <v>215</v>
      </c>
      <c r="J3" s="1">
        <v>125</v>
      </c>
      <c r="K3" s="1">
        <v>270</v>
      </c>
      <c r="L3" s="1">
        <v>320</v>
      </c>
      <c r="M3" s="1">
        <v>190</v>
      </c>
      <c r="N3" s="1">
        <v>22</v>
      </c>
      <c r="O3" s="3">
        <v>1.05</v>
      </c>
      <c r="P3" s="1">
        <v>2</v>
      </c>
    </row>
    <row r="4" spans="1:16" ht="12.75">
      <c r="A4" s="6" t="s">
        <v>7</v>
      </c>
      <c r="B4" s="6" t="s">
        <v>24</v>
      </c>
      <c r="C4" s="6" t="s">
        <v>41</v>
      </c>
      <c r="D4" s="1">
        <v>490</v>
      </c>
      <c r="E4" s="1">
        <v>295</v>
      </c>
      <c r="F4" s="1">
        <v>360</v>
      </c>
      <c r="G4" s="1">
        <v>210</v>
      </c>
      <c r="H4" s="1">
        <v>195</v>
      </c>
      <c r="I4" s="1">
        <v>245</v>
      </c>
      <c r="J4" s="1">
        <v>145</v>
      </c>
      <c r="K4" s="1">
        <v>295</v>
      </c>
      <c r="L4" s="1">
        <v>355</v>
      </c>
      <c r="M4" s="1">
        <v>205</v>
      </c>
      <c r="N4" s="1">
        <v>20</v>
      </c>
      <c r="O4" s="3">
        <v>1.1</v>
      </c>
      <c r="P4" s="1">
        <v>3</v>
      </c>
    </row>
    <row r="5" spans="1:16" ht="12.75">
      <c r="A5" s="6" t="s">
        <v>8</v>
      </c>
      <c r="B5" s="6" t="s">
        <v>25</v>
      </c>
      <c r="C5" s="6" t="s">
        <v>42</v>
      </c>
      <c r="D5" s="1">
        <v>510</v>
      </c>
      <c r="E5" s="1">
        <v>355</v>
      </c>
      <c r="F5" s="1">
        <v>365</v>
      </c>
      <c r="G5" s="1">
        <v>250</v>
      </c>
      <c r="H5" s="1">
        <v>205</v>
      </c>
      <c r="I5" s="1">
        <v>255</v>
      </c>
      <c r="J5" s="1">
        <v>150</v>
      </c>
      <c r="K5" s="1">
        <v>325</v>
      </c>
      <c r="L5" s="1">
        <v>380</v>
      </c>
      <c r="M5" s="1">
        <v>245</v>
      </c>
      <c r="N5" s="1">
        <v>22</v>
      </c>
      <c r="O5" s="3">
        <v>1.5</v>
      </c>
      <c r="P5" s="1">
        <v>4</v>
      </c>
    </row>
    <row r="6" spans="1:16" ht="12.75">
      <c r="A6" s="6" t="s">
        <v>9</v>
      </c>
      <c r="B6" s="6" t="s">
        <v>26</v>
      </c>
      <c r="C6" s="6" t="s">
        <v>43</v>
      </c>
      <c r="D6" s="1">
        <v>590</v>
      </c>
      <c r="E6" s="1">
        <v>335</v>
      </c>
      <c r="F6" s="1">
        <v>420</v>
      </c>
      <c r="G6" s="1">
        <v>215</v>
      </c>
      <c r="H6" s="1">
        <v>235</v>
      </c>
      <c r="I6" s="1">
        <v>290</v>
      </c>
      <c r="J6" s="1">
        <v>180</v>
      </c>
      <c r="K6" s="1">
        <v>335</v>
      </c>
      <c r="L6" s="1">
        <v>400</v>
      </c>
      <c r="M6" s="1">
        <v>230</v>
      </c>
      <c r="N6" s="1">
        <v>16</v>
      </c>
      <c r="O6" s="3">
        <v>1.7</v>
      </c>
      <c r="P6" s="1">
        <v>5</v>
      </c>
    </row>
    <row r="7" spans="1:16" ht="12.75">
      <c r="A7" s="6" t="s">
        <v>10</v>
      </c>
      <c r="B7" s="6" t="s">
        <v>27</v>
      </c>
      <c r="C7" s="6" t="s">
        <v>44</v>
      </c>
      <c r="D7" s="1">
        <v>690</v>
      </c>
      <c r="E7" s="1">
        <v>360</v>
      </c>
      <c r="F7" s="1">
        <v>480</v>
      </c>
      <c r="G7" s="1">
        <v>255</v>
      </c>
      <c r="H7" s="1">
        <v>275</v>
      </c>
      <c r="I7" s="1">
        <v>345</v>
      </c>
      <c r="J7" s="1">
        <v>205</v>
      </c>
      <c r="K7" s="1">
        <v>360</v>
      </c>
      <c r="L7" s="1">
        <v>430</v>
      </c>
      <c r="M7" s="1">
        <v>250</v>
      </c>
      <c r="N7" s="1">
        <v>11</v>
      </c>
      <c r="O7" s="3">
        <v>1.9</v>
      </c>
      <c r="P7" s="1">
        <v>6</v>
      </c>
    </row>
    <row r="8" spans="1:16" ht="12.75">
      <c r="A8" s="6" t="s">
        <v>11</v>
      </c>
      <c r="B8" s="6" t="s">
        <v>28</v>
      </c>
      <c r="C8" s="6" t="s">
        <v>45</v>
      </c>
      <c r="D8" s="1">
        <v>550</v>
      </c>
      <c r="E8" s="1">
        <v>370</v>
      </c>
      <c r="F8" s="1">
        <v>450</v>
      </c>
      <c r="G8" s="1">
        <v>205</v>
      </c>
      <c r="H8" s="1">
        <v>220</v>
      </c>
      <c r="I8" s="1">
        <v>275</v>
      </c>
      <c r="J8" s="1">
        <v>165</v>
      </c>
      <c r="K8" s="1">
        <v>350</v>
      </c>
      <c r="L8" s="1">
        <v>410</v>
      </c>
      <c r="M8" s="1">
        <v>255</v>
      </c>
      <c r="N8" s="1">
        <v>19</v>
      </c>
      <c r="O8" s="3">
        <v>1.6</v>
      </c>
      <c r="P8" s="1">
        <v>7</v>
      </c>
    </row>
    <row r="9" spans="1:16" ht="12.75">
      <c r="A9" s="6" t="s">
        <v>12</v>
      </c>
      <c r="B9" s="6" t="s">
        <v>29</v>
      </c>
      <c r="C9" s="6" t="s">
        <v>46</v>
      </c>
      <c r="D9" s="1">
        <v>750</v>
      </c>
      <c r="E9" s="1">
        <v>520</v>
      </c>
      <c r="F9" s="1">
        <v>650</v>
      </c>
      <c r="G9" s="1">
        <v>350</v>
      </c>
      <c r="H9" s="1">
        <v>300</v>
      </c>
      <c r="I9" s="1">
        <v>375</v>
      </c>
      <c r="J9" s="1">
        <v>220</v>
      </c>
      <c r="K9" s="1">
        <v>480</v>
      </c>
      <c r="L9" s="1">
        <v>560</v>
      </c>
      <c r="M9" s="1">
        <v>360</v>
      </c>
      <c r="N9" s="1">
        <v>13</v>
      </c>
      <c r="O9" s="3">
        <v>1.7</v>
      </c>
      <c r="P9" s="1">
        <v>8</v>
      </c>
    </row>
    <row r="10" spans="1:16" ht="12.75">
      <c r="A10" s="6" t="s">
        <v>13</v>
      </c>
      <c r="B10" s="6" t="s">
        <v>30</v>
      </c>
      <c r="C10" s="6" t="s">
        <v>13</v>
      </c>
      <c r="D10" s="1">
        <v>800</v>
      </c>
      <c r="E10" s="1">
        <v>590</v>
      </c>
      <c r="F10" s="1">
        <v>680</v>
      </c>
      <c r="G10" s="1">
        <v>340</v>
      </c>
      <c r="H10" s="1">
        <v>320</v>
      </c>
      <c r="I10" s="1">
        <v>400</v>
      </c>
      <c r="J10" s="1">
        <v>240</v>
      </c>
      <c r="K10" s="1">
        <v>510</v>
      </c>
      <c r="L10" s="1">
        <v>600</v>
      </c>
      <c r="M10" s="1">
        <v>410</v>
      </c>
      <c r="N10" s="1">
        <v>13</v>
      </c>
      <c r="O10" s="3">
        <v>1.7</v>
      </c>
      <c r="P10" s="1">
        <v>9</v>
      </c>
    </row>
    <row r="11" spans="1:16" ht="12.75">
      <c r="A11" s="6" t="s">
        <v>14</v>
      </c>
      <c r="B11" s="6" t="s">
        <v>31</v>
      </c>
      <c r="C11" s="6" t="s">
        <v>14</v>
      </c>
      <c r="D11" s="1">
        <v>800</v>
      </c>
      <c r="E11" s="1">
        <v>550</v>
      </c>
      <c r="F11" s="1">
        <v>670</v>
      </c>
      <c r="G11" s="1">
        <v>320</v>
      </c>
      <c r="H11" s="1">
        <v>320</v>
      </c>
      <c r="I11" s="1">
        <v>400</v>
      </c>
      <c r="J11" s="1">
        <v>240</v>
      </c>
      <c r="K11" s="1">
        <v>510</v>
      </c>
      <c r="L11" s="1">
        <v>600</v>
      </c>
      <c r="M11" s="1">
        <v>380</v>
      </c>
      <c r="N11" s="1">
        <v>14</v>
      </c>
      <c r="O11" s="3">
        <v>1.7</v>
      </c>
      <c r="P11" s="1">
        <v>10</v>
      </c>
    </row>
    <row r="12" spans="1:16" ht="12.75">
      <c r="A12" s="6" t="s">
        <v>15</v>
      </c>
      <c r="B12" s="6" t="s">
        <v>32</v>
      </c>
      <c r="C12" s="6" t="s">
        <v>15</v>
      </c>
      <c r="D12" s="1">
        <v>900</v>
      </c>
      <c r="E12" s="1">
        <v>700</v>
      </c>
      <c r="F12" s="1">
        <v>765</v>
      </c>
      <c r="G12" s="1">
        <v>390</v>
      </c>
      <c r="H12" s="1">
        <v>360</v>
      </c>
      <c r="I12" s="1">
        <v>450</v>
      </c>
      <c r="J12" s="1">
        <v>270</v>
      </c>
      <c r="K12" s="1">
        <v>575</v>
      </c>
      <c r="L12" s="1">
        <v>675</v>
      </c>
      <c r="M12" s="1">
        <v>460</v>
      </c>
      <c r="N12" s="1">
        <v>12</v>
      </c>
      <c r="O12" s="3">
        <v>2</v>
      </c>
      <c r="P12" s="1">
        <v>11</v>
      </c>
    </row>
    <row r="13" spans="1:16" ht="12.75">
      <c r="A13" s="6" t="s">
        <v>16</v>
      </c>
      <c r="B13" s="6" t="s">
        <v>33</v>
      </c>
      <c r="C13" s="6" t="s">
        <v>16</v>
      </c>
      <c r="D13" s="1">
        <v>1100</v>
      </c>
      <c r="E13" s="1">
        <v>900</v>
      </c>
      <c r="F13" s="1">
        <v>1060</v>
      </c>
      <c r="G13" s="1">
        <v>510</v>
      </c>
      <c r="H13" s="1">
        <v>440</v>
      </c>
      <c r="I13" s="1">
        <v>550</v>
      </c>
      <c r="J13" s="1">
        <v>330</v>
      </c>
      <c r="K13" s="1">
        <v>705</v>
      </c>
      <c r="L13" s="1">
        <v>825</v>
      </c>
      <c r="M13" s="1">
        <v>560</v>
      </c>
      <c r="N13" s="1">
        <v>9</v>
      </c>
      <c r="O13" s="3">
        <v>2</v>
      </c>
      <c r="P13" s="1">
        <v>12</v>
      </c>
    </row>
    <row r="14" spans="1:16" ht="12.75">
      <c r="A14" s="6" t="s">
        <v>17</v>
      </c>
      <c r="B14" s="6" t="s">
        <v>34</v>
      </c>
      <c r="C14" s="6" t="s">
        <v>17</v>
      </c>
      <c r="D14" s="1">
        <v>1200</v>
      </c>
      <c r="E14" s="1">
        <v>1000</v>
      </c>
      <c r="F14" s="1">
        <v>870</v>
      </c>
      <c r="G14" s="1">
        <v>440</v>
      </c>
      <c r="H14" s="1">
        <v>480</v>
      </c>
      <c r="I14" s="1">
        <v>600</v>
      </c>
      <c r="J14" s="1">
        <v>360</v>
      </c>
      <c r="K14" s="1">
        <v>770</v>
      </c>
      <c r="L14" s="1">
        <v>900</v>
      </c>
      <c r="M14" s="1">
        <v>610</v>
      </c>
      <c r="N14" s="1">
        <v>9</v>
      </c>
      <c r="O14" s="3">
        <v>2.4</v>
      </c>
      <c r="P14" s="1">
        <v>13</v>
      </c>
    </row>
    <row r="15" spans="1:16" ht="12.75">
      <c r="A15" s="6" t="s">
        <v>18</v>
      </c>
      <c r="B15" s="6" t="s">
        <v>35</v>
      </c>
      <c r="C15" s="6" t="s">
        <v>18</v>
      </c>
      <c r="D15" s="1">
        <v>750</v>
      </c>
      <c r="E15" s="1">
        <v>430</v>
      </c>
      <c r="F15" s="1">
        <v>450</v>
      </c>
      <c r="G15" s="1">
        <v>300</v>
      </c>
      <c r="H15" s="1">
        <v>300</v>
      </c>
      <c r="I15" s="1">
        <v>375</v>
      </c>
      <c r="J15" s="1">
        <v>225</v>
      </c>
      <c r="K15" s="1">
        <v>430</v>
      </c>
      <c r="L15" s="1">
        <v>515</v>
      </c>
      <c r="M15" s="1">
        <v>300</v>
      </c>
      <c r="N15" s="1">
        <v>14</v>
      </c>
      <c r="O15" s="3">
        <v>1.1</v>
      </c>
      <c r="P15" s="1">
        <v>14</v>
      </c>
    </row>
    <row r="16" spans="1:16" ht="12.75">
      <c r="A16" s="6" t="s">
        <v>19</v>
      </c>
      <c r="B16" s="6" t="s">
        <v>36</v>
      </c>
      <c r="C16" s="6" t="s">
        <v>19</v>
      </c>
      <c r="D16" s="1">
        <v>900</v>
      </c>
      <c r="E16" s="1">
        <v>630</v>
      </c>
      <c r="F16" s="1">
        <v>690</v>
      </c>
      <c r="G16" s="1">
        <v>360</v>
      </c>
      <c r="H16" s="1">
        <v>360</v>
      </c>
      <c r="I16" s="1">
        <v>450</v>
      </c>
      <c r="J16" s="1">
        <v>270</v>
      </c>
      <c r="K16" s="1">
        <v>575</v>
      </c>
      <c r="L16" s="1">
        <v>675</v>
      </c>
      <c r="M16" s="1">
        <v>435</v>
      </c>
      <c r="N16" s="1">
        <v>10</v>
      </c>
      <c r="O16" s="3">
        <v>1.7</v>
      </c>
      <c r="P16" s="1">
        <v>15</v>
      </c>
    </row>
    <row r="17" spans="1:16" ht="12.75">
      <c r="A17" s="6" t="s">
        <v>20</v>
      </c>
      <c r="B17" s="6" t="s">
        <v>37</v>
      </c>
      <c r="C17" s="6" t="s">
        <v>20</v>
      </c>
      <c r="D17" s="1">
        <v>1100</v>
      </c>
      <c r="E17" s="1">
        <v>730</v>
      </c>
      <c r="F17" s="1">
        <v>840</v>
      </c>
      <c r="G17" s="1">
        <v>440</v>
      </c>
      <c r="H17" s="1">
        <v>440</v>
      </c>
      <c r="I17" s="1">
        <v>550</v>
      </c>
      <c r="J17" s="1">
        <v>330</v>
      </c>
      <c r="K17" s="1">
        <v>705</v>
      </c>
      <c r="L17" s="1">
        <v>825</v>
      </c>
      <c r="M17" s="1">
        <v>505</v>
      </c>
      <c r="N17" s="1">
        <v>8</v>
      </c>
      <c r="O17" s="3">
        <v>1.9</v>
      </c>
      <c r="P17" s="1">
        <v>16</v>
      </c>
    </row>
    <row r="18" spans="1:16" ht="12.75">
      <c r="A18" s="6" t="s">
        <v>21</v>
      </c>
      <c r="B18" s="6" t="s">
        <v>38</v>
      </c>
      <c r="C18" s="6" t="s">
        <v>21</v>
      </c>
      <c r="D18" s="1">
        <v>1150</v>
      </c>
      <c r="E18" s="1">
        <v>830</v>
      </c>
      <c r="F18" s="1">
        <v>880</v>
      </c>
      <c r="G18" s="1">
        <v>460</v>
      </c>
      <c r="H18" s="1">
        <v>460</v>
      </c>
      <c r="I18" s="1">
        <v>575</v>
      </c>
      <c r="J18" s="1">
        <v>345</v>
      </c>
      <c r="K18" s="1">
        <v>735</v>
      </c>
      <c r="L18" s="1">
        <v>860</v>
      </c>
      <c r="M18" s="1">
        <v>575</v>
      </c>
      <c r="N18" s="1">
        <v>8</v>
      </c>
      <c r="O18" s="3">
        <v>2.1</v>
      </c>
      <c r="P18" s="1">
        <v>17</v>
      </c>
    </row>
    <row r="20" spans="4:13" ht="14.25">
      <c r="D20" s="144" t="s">
        <v>47</v>
      </c>
      <c r="E20" s="144"/>
      <c r="F20" s="144"/>
      <c r="G20" s="144"/>
      <c r="H20" s="144"/>
      <c r="I20" s="144"/>
      <c r="J20" s="144"/>
      <c r="K20" s="144"/>
      <c r="L20" s="144"/>
      <c r="M20" s="144"/>
    </row>
  </sheetData>
  <sheetProtection password="DB77" sheet="1" objects="1" scenarios="1"/>
  <mergeCells count="1">
    <mergeCell ref="D20:M20"/>
  </mergeCells>
  <printOptions/>
  <pageMargins left="0.75" right="0.75" top="1" bottom="1" header="0.4921259845" footer="0.492125984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TravelMate 291LCi</dc:creator>
  <cp:keywords/>
  <dc:description/>
  <cp:lastModifiedBy>Alex</cp:lastModifiedBy>
  <cp:lastPrinted>2004-09-17T17:49:53Z</cp:lastPrinted>
  <dcterms:created xsi:type="dcterms:W3CDTF">2004-08-11T18:34:56Z</dcterms:created>
  <dcterms:modified xsi:type="dcterms:W3CDTF">2004-10-14T20:15:20Z</dcterms:modified>
  <cp:category/>
  <cp:version/>
  <cp:contentType/>
  <cp:contentStatus/>
</cp:coreProperties>
</file>